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Questa_cartella_di_lavor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ruppofsitaliane-my.sharepoint.com/personal/6004524_italferr_it/Documents/Desktop/"/>
    </mc:Choice>
  </mc:AlternateContent>
  <xr:revisionPtr revIDLastSave="1" documentId="8_{F5D618CE-4054-450D-818F-AE8847E9A994}" xr6:coauthVersionLast="47" xr6:coauthVersionMax="47" xr10:uidLastSave="{72E4C839-73D2-4FEF-924D-1ACCC581C640}"/>
  <bookViews>
    <workbookView xWindow="-96" yWindow="-96" windowWidth="23232" windowHeight="12432" tabRatio="858" xr2:uid="{7BA06592-051E-4BBA-959B-4ED57C0E3BB5}"/>
  </bookViews>
  <sheets>
    <sheet name="DATI" sheetId="2" r:id="rId1"/>
  </sheets>
  <definedNames>
    <definedName name="_xlnm._FilterDatabase" localSheetId="0" hidden="1">DATI!$A$4:$CU$43</definedName>
    <definedName name="_xlnm.Print_Area" localSheetId="0">DATI!$D$4:$CM$40</definedName>
    <definedName name="_xlnm.Print_Titles" localSheetId="0">DATI!$4:$4</definedName>
    <definedName name="Z_50B7E110_FD42_446B_AC41_384806E05BBF_.wvu.Cols" localSheetId="0" hidden="1">DATI!$J:$M,DATI!$Q:$AT,DATI!$AV:$AV,DATI!$AZ:$BA,DATI!$BC:$BC,DATI!$BJ:$BJ</definedName>
    <definedName name="Z_50B7E110_FD42_446B_AC41_384806E05BBF_.wvu.FilterData" localSheetId="0" hidden="1">DATI!$A$4:$BM$37</definedName>
    <definedName name="Z_50B7E110_FD42_446B_AC41_384806E05BBF_.wvu.PrintArea" localSheetId="0" hidden="1">DATI!$A$1:$BO$33</definedName>
    <definedName name="Z_50B7E110_FD42_446B_AC41_384806E05BBF_.wvu.PrintTitles" localSheetId="0" hidden="1">DATI!$4:$4</definedName>
    <definedName name="Z_836A67C5_D467_43F8_B234_294133BA48E9_.wvu.Cols" localSheetId="0" hidden="1">DATI!$J:$M,DATI!$Q:$AS,DATI!$AV:$AV,DATI!$AZ:$BA,DATI!$BC:$BC,DATI!$BJ:$BJ</definedName>
    <definedName name="Z_836A67C5_D467_43F8_B234_294133BA48E9_.wvu.FilterData" localSheetId="0" hidden="1">DATI!$A$4:$BM$37</definedName>
    <definedName name="Z_836A67C5_D467_43F8_B234_294133BA48E9_.wvu.PrintArea" localSheetId="0" hidden="1">DATI!$A$1:$BO$33</definedName>
    <definedName name="Z_836A67C5_D467_43F8_B234_294133BA48E9_.wvu.PrintTitles" localSheetId="0" hidden="1">DATI!$4:$4</definedName>
  </definedNames>
  <calcPr calcId="191028"/>
  <customWorkbookViews>
    <customWorkbookView name="Stampa" guid="{50B7E110-FD42-446B-AC41-384806E05BBF}" maximized="1" xWindow="1358" yWindow="-8" windowWidth="1936" windowHeight="1056" activeSheetId="2"/>
    <customWorkbookView name="Stampa2" guid="{836A67C5-D467-43F8-B234-294133BA48E9}" maximized="1" xWindow="135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L40" i="2" l="1"/>
  <c r="BD13" i="2"/>
  <c r="CC13" i="2" s="1"/>
  <c r="CE13" i="2"/>
  <c r="CK20" i="2" l="1"/>
  <c r="CL20" i="2"/>
  <c r="CE20" i="2"/>
  <c r="CD20" i="2"/>
  <c r="CC20" i="2"/>
  <c r="BG20" i="2"/>
  <c r="BF42" i="2"/>
  <c r="BH43" i="2"/>
  <c r="BG43" i="2"/>
  <c r="BF43" i="2"/>
  <c r="CM43" i="2"/>
  <c r="CN43" i="2"/>
  <c r="CO43" i="2"/>
  <c r="CP43" i="2"/>
  <c r="CK43" i="2"/>
  <c r="BC35" i="2"/>
  <c r="BH37" i="2"/>
  <c r="BG37" i="2"/>
  <c r="BJ24" i="2"/>
  <c r="BF37" i="2"/>
  <c r="CN42" i="2"/>
  <c r="CO42" i="2"/>
  <c r="CP42" i="2"/>
  <c r="CQ42" i="2"/>
  <c r="CL42" i="2"/>
  <c r="BM42" i="2"/>
  <c r="BN42" i="2"/>
  <c r="BG42" i="2"/>
  <c r="BH42" i="2"/>
  <c r="BJ42" i="2"/>
  <c r="BK42" i="2"/>
  <c r="CK32" i="2"/>
  <c r="BE31" i="2"/>
  <c r="AY22" i="2"/>
  <c r="CQ41" i="2"/>
  <c r="CP41" i="2"/>
  <c r="CO41" i="2"/>
  <c r="CN41" i="2"/>
  <c r="CL41" i="2"/>
  <c r="BK41" i="2"/>
  <c r="BJ41" i="2"/>
  <c r="BH41" i="2"/>
  <c r="BG41" i="2"/>
  <c r="BF41" i="2"/>
  <c r="BN41" i="2"/>
  <c r="BM41" i="2"/>
  <c r="AI41" i="2"/>
  <c r="AA41" i="2"/>
  <c r="Y41" i="2"/>
  <c r="BF5" i="2"/>
  <c r="CQ19" i="2"/>
  <c r="CO19" i="2"/>
  <c r="CN19" i="2"/>
  <c r="CQ40" i="2"/>
  <c r="CP40" i="2"/>
  <c r="CN40" i="2"/>
  <c r="CQ37" i="2"/>
  <c r="CP37" i="2"/>
  <c r="CO37" i="2"/>
  <c r="CN37" i="2"/>
  <c r="CQ33" i="2"/>
  <c r="CP33" i="2"/>
  <c r="CO33" i="2"/>
  <c r="CN33" i="2"/>
  <c r="CQ29" i="2"/>
  <c r="CP29" i="2"/>
  <c r="CO29" i="2"/>
  <c r="CN29" i="2"/>
  <c r="CP19" i="2"/>
  <c r="CQ10" i="2"/>
  <c r="CP10" i="2"/>
  <c r="CO10" i="2"/>
  <c r="CN10" i="2"/>
  <c r="CO7" i="2"/>
  <c r="CP7" i="2"/>
  <c r="CQ7" i="2"/>
  <c r="CN7" i="2"/>
  <c r="CO5" i="2"/>
  <c r="CP5" i="2"/>
  <c r="CQ5" i="2"/>
  <c r="CN5" i="2"/>
  <c r="CR52" i="2"/>
  <c r="CL32" i="2"/>
  <c r="CK40" i="2"/>
  <c r="CF52" i="2"/>
  <c r="CL37" i="2"/>
  <c r="CK37" i="2"/>
  <c r="CL33" i="2"/>
  <c r="CK33" i="2"/>
  <c r="CL29" i="2"/>
  <c r="CK29" i="2"/>
  <c r="CL19" i="2"/>
  <c r="CK19" i="2"/>
  <c r="CL13" i="2"/>
  <c r="CB13" i="2" s="1"/>
  <c r="CK13" i="2"/>
  <c r="CK11" i="2"/>
  <c r="CL10" i="2"/>
  <c r="CK10" i="2"/>
  <c r="CL6" i="2"/>
  <c r="CL7" i="2"/>
  <c r="CL5" i="2"/>
  <c r="CK6" i="2"/>
  <c r="CK7" i="2"/>
  <c r="CK5" i="2"/>
  <c r="AI36" i="2"/>
  <c r="AI37" i="2"/>
  <c r="AI39" i="2"/>
  <c r="AT40" i="2"/>
  <c r="AR36" i="2"/>
  <c r="AH40" i="2"/>
  <c r="AG40" i="2"/>
  <c r="BG22" i="2"/>
  <c r="BN33" i="2"/>
  <c r="BG33" i="2"/>
  <c r="BH33" i="2"/>
  <c r="BD5" i="2"/>
  <c r="BI43" i="2" l="1"/>
  <c r="BI42" i="2"/>
  <c r="BI37" i="2"/>
  <c r="AJ41" i="2"/>
  <c r="BI41" i="2"/>
  <c r="BI33" i="2"/>
  <c r="BG10" i="2"/>
  <c r="BM13" i="2"/>
  <c r="BF25" i="2"/>
  <c r="BH10" i="2" l="1"/>
  <c r="BI10" i="2" s="1"/>
  <c r="BG9" i="2"/>
  <c r="AE15" i="2" l="1"/>
  <c r="BF7" i="2"/>
  <c r="O11" i="2"/>
  <c r="CL11" i="2" s="1"/>
  <c r="BH22" i="2" l="1"/>
  <c r="BF22" i="2" l="1"/>
  <c r="BF10" i="2"/>
  <c r="BH32" i="2"/>
  <c r="BG32" i="2"/>
  <c r="AQ33" i="2"/>
  <c r="BF15" i="2"/>
  <c r="BF20" i="2"/>
  <c r="BF11" i="2"/>
  <c r="BK23" i="2"/>
  <c r="BH23" i="2"/>
  <c r="BG23" i="2"/>
  <c r="BF23" i="2"/>
  <c r="BG30" i="2"/>
  <c r="BH30" i="2"/>
  <c r="AH30" i="2"/>
  <c r="AQ30" i="2"/>
  <c r="BF12" i="2"/>
  <c r="AV35" i="2"/>
  <c r="Z35" i="2"/>
  <c r="BG36" i="2"/>
  <c r="BH36" i="2"/>
  <c r="AS36" i="2"/>
  <c r="AS35" i="2"/>
  <c r="AU35" i="2" s="1"/>
  <c r="AR35" i="2"/>
  <c r="AT35" i="2" s="1"/>
  <c r="AW35" i="2" s="1"/>
  <c r="AH35" i="2"/>
  <c r="AI35" i="2" s="1"/>
  <c r="BG35" i="2"/>
  <c r="BH35" i="2"/>
  <c r="BF30" i="2" l="1"/>
  <c r="BI23" i="2"/>
  <c r="BH34" i="2"/>
  <c r="BG34" i="2"/>
  <c r="AV16" i="2" l="1"/>
  <c r="AV17" i="2"/>
  <c r="AV15" i="2"/>
  <c r="BJ15" i="2" s="1"/>
  <c r="BG29" i="2"/>
  <c r="BH29" i="2"/>
  <c r="AS33" i="2" l="1"/>
  <c r="AR32" i="2"/>
  <c r="AQ32" i="2"/>
  <c r="BN24" i="2"/>
  <c r="AG31" i="2"/>
  <c r="AS32" i="2" l="1"/>
  <c r="BF18" i="2"/>
  <c r="Z12" i="2"/>
  <c r="AC18" i="2"/>
  <c r="Y7" i="2"/>
  <c r="Y18" i="2"/>
  <c r="Y17" i="2"/>
  <c r="BH20" i="2"/>
  <c r="BJ20" i="2"/>
  <c r="BK20" i="2"/>
  <c r="AE20" i="2"/>
  <c r="AC20" i="2" l="1"/>
  <c r="BI20" i="2"/>
  <c r="AI20" i="2"/>
  <c r="AJ20" i="2" s="1"/>
  <c r="AV18" i="2"/>
  <c r="BJ18" i="2" s="1"/>
  <c r="BH18" i="2"/>
  <c r="BG18" i="2"/>
  <c r="AI18" i="2"/>
  <c r="AE18" i="2"/>
  <c r="AA18" i="2"/>
  <c r="Z18" i="2"/>
  <c r="O17" i="2"/>
  <c r="BG12" i="2"/>
  <c r="BH12" i="2"/>
  <c r="BJ12" i="2"/>
  <c r="BK12" i="2"/>
  <c r="AJ18" i="2" l="1"/>
  <c r="AF18" i="2"/>
  <c r="BN18" i="2"/>
  <c r="BM18" i="2"/>
  <c r="BK18" i="2"/>
  <c r="BI18" i="2"/>
  <c r="BI12" i="2"/>
  <c r="Z32" i="2"/>
  <c r="Z31" i="2"/>
  <c r="Z16" i="2"/>
  <c r="Z15" i="2"/>
  <c r="Z14" i="2"/>
  <c r="AD32" i="2"/>
  <c r="AD31" i="2"/>
  <c r="AD16" i="2"/>
  <c r="AD15" i="2"/>
  <c r="AD14" i="2"/>
  <c r="Y21" i="2"/>
  <c r="Y32" i="2"/>
  <c r="Y31" i="2"/>
  <c r="Y16" i="2"/>
  <c r="Y15" i="2"/>
  <c r="Y14" i="2"/>
  <c r="BH21" i="2"/>
  <c r="BG21" i="2"/>
  <c r="BF21" i="2"/>
  <c r="AR30" i="2"/>
  <c r="AR11" i="2"/>
  <c r="Y11" i="2"/>
  <c r="AC33" i="2"/>
  <c r="BH31" i="2"/>
  <c r="BG31" i="2"/>
  <c r="BM9" i="2"/>
  <c r="BN10" i="2"/>
  <c r="AC13" i="2"/>
  <c r="AE13" i="2"/>
  <c r="AI12" i="2" l="1"/>
  <c r="AE12" i="2"/>
  <c r="AC12" i="2"/>
  <c r="AI13" i="2"/>
  <c r="AQ29" i="2"/>
  <c r="BF29" i="2" s="1"/>
  <c r="AH34" i="2"/>
  <c r="AI34" i="2" s="1"/>
  <c r="AA34" i="2"/>
  <c r="Y34" i="2"/>
  <c r="AJ12" i="2" l="1"/>
  <c r="BI21" i="2" l="1"/>
  <c r="BI36" i="2"/>
  <c r="BI35" i="2"/>
  <c r="BI34" i="2"/>
  <c r="BI32" i="2"/>
  <c r="BI31" i="2"/>
  <c r="BI30" i="2"/>
  <c r="BI29" i="2"/>
  <c r="BI26" i="2"/>
  <c r="BI28" i="2"/>
  <c r="AE32" i="2"/>
  <c r="AC32" i="2"/>
  <c r="AE10" i="2" l="1"/>
  <c r="AC10" i="2"/>
  <c r="AI10" i="2"/>
  <c r="AC25" i="2"/>
  <c r="BF17" i="2"/>
  <c r="BF16" i="2"/>
  <c r="BH25" i="2"/>
  <c r="BG25" i="2"/>
  <c r="AU25" i="2"/>
  <c r="AW25" i="2" s="1"/>
  <c r="AS25" i="2"/>
  <c r="BJ25" i="2" s="1"/>
  <c r="AI25" i="2"/>
  <c r="T25" i="2"/>
  <c r="Z25" i="2" s="1"/>
  <c r="R25" i="2"/>
  <c r="AQ8" i="2"/>
  <c r="BF8" i="2" s="1"/>
  <c r="BI25" i="2" l="1"/>
  <c r="AE25" i="2"/>
  <c r="AJ25" i="2" s="1"/>
  <c r="AD25" i="2"/>
  <c r="AA25" i="2"/>
  <c r="Y25" i="2"/>
  <c r="AJ10" i="2"/>
  <c r="AT25" i="2"/>
  <c r="BK25" i="2" s="1"/>
  <c r="BN25" i="2"/>
  <c r="BM25" i="2"/>
  <c r="R11" i="2"/>
  <c r="AW15" i="2"/>
  <c r="AW16" i="2"/>
  <c r="AW17" i="2"/>
  <c r="BJ17" i="2"/>
  <c r="BJ16" i="2"/>
  <c r="AF25" i="2" l="1"/>
  <c r="BK10" i="2"/>
  <c r="BM10" i="2"/>
  <c r="BJ10" i="2"/>
  <c r="Y10" i="2"/>
  <c r="AE19" i="2"/>
  <c r="BH17" i="2"/>
  <c r="O16" i="2"/>
  <c r="O15" i="2"/>
  <c r="AV34" i="2"/>
  <c r="AS34" i="2"/>
  <c r="AR34" i="2"/>
  <c r="AT34" i="2" s="1"/>
  <c r="AC34" i="2"/>
  <c r="AE34" i="2"/>
  <c r="AJ34" i="2" s="1"/>
  <c r="AG36" i="2"/>
  <c r="BF36" i="2" s="1"/>
  <c r="AG35" i="2"/>
  <c r="BF35" i="2" s="1"/>
  <c r="AG34" i="2"/>
  <c r="BF34" i="2" s="1"/>
  <c r="BF14" i="2"/>
  <c r="T33" i="2"/>
  <c r="AR33" i="2" s="1"/>
  <c r="BG14" i="2"/>
  <c r="BM15" i="2"/>
  <c r="BM16" i="2"/>
  <c r="BM17" i="2"/>
  <c r="BK15" i="2"/>
  <c r="BK16" i="2"/>
  <c r="BK17" i="2"/>
  <c r="BG17" i="2"/>
  <c r="AW34" i="2" l="1"/>
  <c r="BN34" i="2" s="1"/>
  <c r="AU34" i="2"/>
  <c r="BG16" i="2"/>
  <c r="BH11" i="2"/>
  <c r="BG11" i="2"/>
  <c r="BG15" i="2"/>
  <c r="BH16" i="2"/>
  <c r="BH15" i="2"/>
  <c r="BI17" i="2"/>
  <c r="BH14" i="2"/>
  <c r="BN6" i="2"/>
  <c r="BN9" i="2"/>
  <c r="BN13" i="2"/>
  <c r="BN15" i="2"/>
  <c r="BN16" i="2"/>
  <c r="BN17" i="2"/>
  <c r="BN19" i="2"/>
  <c r="BN21" i="2"/>
  <c r="BN26" i="2"/>
  <c r="BN28" i="2"/>
  <c r="BN30" i="2"/>
  <c r="BN32" i="2"/>
  <c r="BN5" i="2"/>
  <c r="BM5" i="2"/>
  <c r="BK24" i="2"/>
  <c r="BK22" i="2"/>
  <c r="BK9" i="2"/>
  <c r="BJ9" i="2"/>
  <c r="BJ8" i="2"/>
  <c r="BK7" i="2"/>
  <c r="BJ7" i="2"/>
  <c r="BJ6" i="2"/>
  <c r="BJ5" i="2"/>
  <c r="BK5" i="2"/>
  <c r="T21" i="2"/>
  <c r="Z21" i="2" s="1"/>
  <c r="AE29" i="2"/>
  <c r="AC29" i="2"/>
  <c r="AC31" i="2"/>
  <c r="AE31" i="2"/>
  <c r="AE27" i="2"/>
  <c r="AC27" i="2"/>
  <c r="AE26" i="2"/>
  <c r="AC26" i="2"/>
  <c r="AE24" i="2"/>
  <c r="AC24" i="2"/>
  <c r="AJ13" i="2"/>
  <c r="AE14" i="2"/>
  <c r="AE23" i="2"/>
  <c r="AE16" i="2"/>
  <c r="AC15" i="2"/>
  <c r="AC16" i="2"/>
  <c r="AC19" i="2"/>
  <c r="AC21" i="2"/>
  <c r="AC23" i="2"/>
  <c r="AA32" i="2"/>
  <c r="AF32" i="2" s="1"/>
  <c r="AA31" i="2"/>
  <c r="AQ27" i="2"/>
  <c r="BH27" i="2"/>
  <c r="BG27" i="2"/>
  <c r="AH27" i="2"/>
  <c r="AR27" i="2" s="1"/>
  <c r="AT27" i="2" s="1"/>
  <c r="AV27" i="2" s="1"/>
  <c r="AS26" i="2"/>
  <c r="BK6" i="2"/>
  <c r="BI14" i="2" l="1"/>
  <c r="BI16" i="2"/>
  <c r="BI11" i="2"/>
  <c r="AF31" i="2"/>
  <c r="AE21" i="2"/>
  <c r="AD21" i="2"/>
  <c r="BI15" i="2"/>
  <c r="BJ27" i="2"/>
  <c r="AW27" i="2"/>
  <c r="BN27" i="2" s="1"/>
  <c r="BI27" i="2"/>
  <c r="BK27" i="2" l="1"/>
  <c r="BF31" i="2" l="1"/>
  <c r="AI6" i="2"/>
  <c r="AJ6" i="2" s="1"/>
  <c r="AI7" i="2"/>
  <c r="AI8" i="2"/>
  <c r="AI9" i="2"/>
  <c r="AI14" i="2"/>
  <c r="AI15" i="2"/>
  <c r="AI16" i="2"/>
  <c r="AI17" i="2"/>
  <c r="AI19" i="2"/>
  <c r="AI21" i="2"/>
  <c r="AJ21" i="2" s="1"/>
  <c r="AI22" i="2"/>
  <c r="AI23" i="2"/>
  <c r="AJ23" i="2" s="1"/>
  <c r="AI26" i="2"/>
  <c r="AI27" i="2"/>
  <c r="AI28" i="2"/>
  <c r="AI29" i="2"/>
  <c r="AI31" i="2"/>
  <c r="AE28" i="2"/>
  <c r="AC6" i="2"/>
  <c r="AC7" i="2"/>
  <c r="AC8" i="2"/>
  <c r="AC9" i="2"/>
  <c r="AC14" i="2"/>
  <c r="AC22" i="2"/>
  <c r="AC28" i="2"/>
  <c r="AA6" i="2"/>
  <c r="AA7" i="2"/>
  <c r="AA9" i="2"/>
  <c r="AA13" i="2"/>
  <c r="AA14" i="2"/>
  <c r="AF14" i="2" s="1"/>
  <c r="AA15" i="2"/>
  <c r="AF15" i="2" s="1"/>
  <c r="AA16" i="2"/>
  <c r="AF16" i="2" s="1"/>
  <c r="AA17" i="2"/>
  <c r="AA21" i="2"/>
  <c r="AF21" i="2" s="1"/>
  <c r="AA22" i="2"/>
  <c r="AA24" i="2"/>
  <c r="AA26" i="2"/>
  <c r="AA27" i="2"/>
  <c r="AA28" i="2"/>
  <c r="AA29" i="2"/>
  <c r="Y22" i="2"/>
  <c r="Y23" i="2"/>
  <c r="Y24" i="2"/>
  <c r="Y26" i="2"/>
  <c r="Y27" i="2"/>
  <c r="Y28" i="2"/>
  <c r="Y29" i="2"/>
  <c r="Y6" i="2"/>
  <c r="Y9" i="2"/>
  <c r="Y13" i="2"/>
  <c r="Y5" i="2"/>
  <c r="AG23" i="2"/>
  <c r="R23" i="2"/>
  <c r="AA23" i="2" s="1"/>
  <c r="AJ31" i="2" l="1"/>
  <c r="AJ15" i="2"/>
  <c r="AJ16" i="2"/>
  <c r="AJ14" i="2"/>
  <c r="AJ29" i="2"/>
  <c r="AJ28" i="2"/>
  <c r="AJ27" i="2"/>
  <c r="AJ26" i="2"/>
  <c r="T22" i="2"/>
  <c r="AE22" i="2" s="1"/>
  <c r="AJ22" i="2" s="1"/>
  <c r="T9" i="2"/>
  <c r="AE9" i="2" s="1"/>
  <c r="AJ9" i="2" s="1"/>
  <c r="AJ19" i="2"/>
  <c r="AA5" i="2"/>
  <c r="T8" i="2"/>
  <c r="AE8" i="2" s="1"/>
  <c r="AJ8" i="2" s="1"/>
  <c r="BF19" i="2"/>
  <c r="BG19" i="2"/>
  <c r="BH19" i="2"/>
  <c r="BJ19" i="2"/>
  <c r="BK19" i="2"/>
  <c r="BN14" i="2"/>
  <c r="BM21" i="2"/>
  <c r="BI19" i="2" l="1"/>
  <c r="AR31" i="2"/>
  <c r="AS31" i="2" l="1"/>
  <c r="AV31" i="2" s="1"/>
  <c r="BH24" i="2"/>
  <c r="BG24" i="2"/>
  <c r="AT31" i="2" l="1"/>
  <c r="AW31" i="2" s="1"/>
  <c r="BN31" i="2" s="1"/>
  <c r="BI24" i="2"/>
  <c r="AH24" i="2"/>
  <c r="AI5" i="2"/>
  <c r="AJ5" i="2" s="1"/>
  <c r="T17" i="2"/>
  <c r="AC5" i="2"/>
  <c r="AT8" i="2"/>
  <c r="AU8" i="2" s="1"/>
  <c r="BK8" i="2" s="1"/>
  <c r="T7" i="2"/>
  <c r="AE7" i="2" s="1"/>
  <c r="AJ7" i="2" s="1"/>
  <c r="AD17" i="2" l="1"/>
  <c r="Z17" i="2"/>
  <c r="AE17" i="2"/>
  <c r="AC17" i="2"/>
  <c r="BF24" i="2"/>
  <c r="AI24" i="2"/>
  <c r="AJ24" i="2" s="1"/>
  <c r="BF9" i="2"/>
  <c r="BM7" i="2"/>
  <c r="BM8" i="2"/>
  <c r="BM22" i="2"/>
  <c r="BM6" i="2"/>
  <c r="BL9" i="2"/>
  <c r="BL22" i="2"/>
  <c r="BJ13" i="2"/>
  <c r="BK13" i="2"/>
  <c r="BH13" i="2"/>
  <c r="BG13" i="2"/>
  <c r="BF13" i="2"/>
  <c r="AJ17" i="2" l="1"/>
  <c r="AF17" i="2"/>
  <c r="BI22" i="2"/>
  <c r="BI13" i="2"/>
  <c r="BF6" i="2"/>
  <c r="BG6" i="2"/>
  <c r="BH6" i="2"/>
  <c r="BG7" i="2"/>
  <c r="BH7" i="2"/>
  <c r="BG8" i="2"/>
  <c r="BH8" i="2"/>
  <c r="BH9" i="2"/>
  <c r="BI9" i="2" s="1"/>
  <c r="BH5" i="2"/>
  <c r="BG5" i="2"/>
  <c r="BI7" i="2" l="1"/>
  <c r="BI6" i="2"/>
  <c r="BI5" i="2"/>
  <c r="B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tc={E423D720-B229-47BB-A499-F0BE55FEC3FB}</author>
    <author>tc={26851EFE-FB7A-4051-AB4C-0D69C14C7540}</author>
    <author>tc={ED03B193-FE56-4A20-96BB-009BA3E30C8A}</author>
    <author>tc={1E0E5E02-4F34-4411-AA1A-409870918622}</author>
    <author>tc={E78DF6F7-6763-48DD-997F-A8D3EFB6081B}</author>
    <author>tc={01A17F61-6774-4570-A100-59955B23688D}</author>
    <author>tc={4BAA4EE7-8AB8-452D-AB85-244E9EB970EB}</author>
    <author>tc={34ECF0EB-780B-4751-9C99-C71726F4036C}</author>
    <author>tc={C4975893-6475-49A5-B758-3BCEB6432BA4}</author>
    <author>CANTONE TOMMASO</author>
    <author>MOLINARI GIOVANNI</author>
    <author>tc={F3A3FE7B-D21F-4AEA-9EAF-2021D268569C}</author>
    <author>tc={3B9D8AD5-E637-4C18-B2EC-997887C8D38B}</author>
    <author>tc={A05E14F7-3D49-4412-ADFA-6ADDFB9802BA}</author>
    <author>tc={1246AB09-7782-4104-B0BE-1A9E58137D46}</author>
    <author>tc={C8ADB4BB-9445-476D-A04F-FE3145C9ECB8}</author>
    <author>tc={04F4B77D-F22D-4A44-B100-1461183B39F6}</author>
    <author>tc={6BA25E6E-2759-421E-A00E-1DDB3658C06D}</author>
    <author>tc={242CFA77-7070-4592-BC99-F20043539F87}</author>
    <author>tc={FD58F42D-0E2D-4A71-AAC9-21EC712D41C6}</author>
    <author>tc={51A5DA49-8F30-482D-9B27-A50CCE0FB39A}</author>
    <author>tc={28CD0406-FC14-44BB-9C84-C067F031D805}</author>
    <author>tc={DEA28487-5291-430B-854D-7D30F246FEA6}</author>
    <author>tc={2C7285F6-56AB-4622-AC12-99F865C30A9D}</author>
    <author>tc={6CBC1B2F-F4EF-4AC4-BF8F-0F89D920DCFF}</author>
    <author>tc={39C0F157-0007-4146-B53D-912ACD57A90E}</author>
    <author>MAURIZI FRANCESCO</author>
    <author>TROPENSCOVINO SERGIO</author>
    <author>tc={E6F75011-7BEF-4718-AC7C-924FC020E80D}</author>
  </authors>
  <commentList>
    <comment ref="R4" authorId="0" shapeId="0" xr:uid="{E423D720-B229-47BB-A499-F0BE55FEC3F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 base alla consegna delle prestazioni</t>
      </text>
    </comment>
    <comment ref="T4" authorId="1" shapeId="0" xr:uid="{26851EFE-FB7A-4051-AB4C-0D69C14C7540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in base alla consegna delle prestazioni</t>
      </text>
    </comment>
    <comment ref="V4" authorId="2" shapeId="0" xr:uid="{ED03B193-FE56-4A20-96BB-009BA3E30C8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esempio ritardo della progettazione etc.</t>
      </text>
    </comment>
    <comment ref="W4" authorId="3" shapeId="0" xr:uid="{1E0E5E02-4F34-4411-AA1A-409870918622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esempio ritardo della progettazione etc.</t>
      </text>
    </comment>
    <comment ref="AQ4" authorId="4" shapeId="0" xr:uid="{E78DF6F7-6763-48DD-997F-A8D3EFB6081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durata totale (parte a e parte b)</t>
      </text>
    </comment>
    <comment ref="AR4" authorId="5" shapeId="0" xr:uid="{01A17F61-6774-4570-A100-59955B23688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corrispondente al PLO contrattuale</t>
      </text>
    </comment>
    <comment ref="AS4" authorId="6" shapeId="0" xr:uid="{4BAA4EE7-8AB8-452D-AB85-244E9EB970E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a seguito di proroghe, acceleramenti, varianti ufficiali</t>
      </text>
    </comment>
    <comment ref="AP12" authorId="7" shapeId="0" xr:uid="{34ECF0EB-780B-4751-9C99-C71726F4036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Ridefinita a seguito di 1° AdS (inizialmente, da Convenzione, era 900gnc)</t>
      </text>
    </comment>
    <comment ref="AQ12" authorId="8" shapeId="0" xr:uid="{C4975893-6475-49A5-B758-3BCEB6432BA4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Ridefinita a seguito di 1° AdS (inizialmente, da Convenzione, era 900gnc)</t>
      </text>
    </comment>
    <comment ref="X14" authorId="9" shapeId="0" xr:uid="{C58A9DC6-9937-408C-BD0E-471AF78EAF2C}">
      <text>
        <r>
          <rPr>
            <b/>
            <sz val="9"/>
            <color indexed="81"/>
            <rFont val="Tahoma"/>
            <family val="2"/>
          </rPr>
          <t>CANTONE TOMMASO:</t>
        </r>
        <r>
          <rPr>
            <sz val="9"/>
            <color indexed="81"/>
            <rFont val="Tahoma"/>
            <family val="2"/>
          </rPr>
          <t xml:space="preserve">
Consegna Lavori di PARTE A</t>
        </r>
      </text>
    </comment>
    <comment ref="AG14" authorId="9" shapeId="0" xr:uid="{091E7A33-3E56-4CAC-A3E5-961D518CEB83}">
      <text>
        <r>
          <rPr>
            <b/>
            <sz val="9"/>
            <color indexed="81"/>
            <rFont val="Tahoma"/>
            <family val="2"/>
          </rPr>
          <t>CANTONE TOMMASO:</t>
        </r>
        <r>
          <rPr>
            <sz val="9"/>
            <color indexed="81"/>
            <rFont val="Tahoma"/>
            <family val="2"/>
          </rPr>
          <t xml:space="preserve">
Decorrenza TUP 1</t>
        </r>
      </text>
    </comment>
    <comment ref="AH15" authorId="10" shapeId="0" xr:uid="{B5447713-FFC9-410D-9F53-5B9931D48A5E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DATA PRESUNTA (UTILE AI FINI DEL CALCOLO ECONOMICO)
</t>
        </r>
      </text>
    </comment>
    <comment ref="AP15" authorId="11" shapeId="0" xr:uid="{F3A3FE7B-D21F-4AEA-9EAF-2021D268569C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113gnc parte A + 949gnc parte B (da Convenzione)</t>
      </text>
    </comment>
    <comment ref="AQ15" authorId="12" shapeId="0" xr:uid="{3B9D8AD5-E637-4C18-B2EC-997887C8D38B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 giorni di parte A + parte B sono 1084 (si riportano solo i 113gnc previsti da contratto per poter calcolare l'avanzamento temporale_cella AM17)</t>
      </text>
    </comment>
    <comment ref="AS15" authorId="10" shapeId="0" xr:uid="{8E9F698D-F4C2-4CF2-AC7E-FAF389DD5169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 PLO non approvato</t>
        </r>
      </text>
    </comment>
    <comment ref="BF15" authorId="13" shapeId="0" xr:uid="{A05E14F7-3D49-4412-ADFA-6ADDFB9802B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seguente formula è stata modificata perché tiene conto soltanto della parte A (TUP 1 - 113gnc e decorrenza TU dal 29/09/23)</t>
      </text>
    </comment>
    <comment ref="AH16" authorId="10" shapeId="0" xr:uid="{4D2A093A-30F3-4F63-9492-04F8B0BB7AF6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DATA PRESUNTA (UTILE AI FINI DEL CALCOLO ECONOMICO)
</t>
        </r>
      </text>
    </comment>
    <comment ref="AP16" authorId="14" shapeId="0" xr:uid="{1246AB09-7782-4104-B0BE-1A9E58137D4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160gnc parte A + 1134gnc parte B (da Convenzione)</t>
      </text>
    </comment>
    <comment ref="AQ16" authorId="15" shapeId="0" xr:uid="{C8ADB4BB-9445-476D-A04F-FE3145C9ECB8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 giorni di parte A + parte B sono 1134 (si riportano solo i 160gnc previsti da contratto per poter calcolare l'avanzamento temporale_cella AM18)</t>
      </text>
    </comment>
    <comment ref="AS16" authorId="10" shapeId="0" xr:uid="{8A8FD895-AB63-41A9-8ED2-A11E9E8EEB07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 PLO non approvato</t>
        </r>
      </text>
    </comment>
    <comment ref="BF16" authorId="16" shapeId="0" xr:uid="{04F4B77D-F22D-4A44-B100-1461183B39F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seguente formula è stata modificata perché tiene conto soltanto della parte A (TUP 1 - 160gnc e decorrenza TU dal 24/10/23)</t>
      </text>
    </comment>
    <comment ref="AH17" authorId="10" shapeId="0" xr:uid="{E4E5F81F-8D69-4348-A026-01CE52EADB31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DATA PRESUNTA (UTILE AI FINI DEL CALCOLO ECONOMICO)
</t>
        </r>
      </text>
    </comment>
    <comment ref="AP17" authorId="17" shapeId="0" xr:uid="{6BA25E6E-2759-421E-A00E-1DDB3658C06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127gnc parte A + 2276gnc parte B (da Convenzione)</t>
      </text>
    </comment>
    <comment ref="AQ17" authorId="18" shapeId="0" xr:uid="{242CFA77-7070-4592-BC99-F20043539F87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I giorni di parte A + parte B sono 2276 (si riportano solo i 127gnc previsti da contratto per poter calcolare l'avanzamento temporale_cella AM19)</t>
      </text>
    </comment>
    <comment ref="AS17" authorId="10" shapeId="0" xr:uid="{EECC7360-94B2-4A0D-864C-FFDD0358DA0B}">
      <text>
        <r>
          <rPr>
            <b/>
            <sz val="9"/>
            <color indexed="81"/>
            <rFont val="Tahoma"/>
            <family val="2"/>
          </rPr>
          <t>MOLINARI GIOVANNI:</t>
        </r>
        <r>
          <rPr>
            <sz val="9"/>
            <color indexed="81"/>
            <rFont val="Tahoma"/>
            <family val="2"/>
          </rPr>
          <t xml:space="preserve">
Da PLO non Approvato</t>
        </r>
      </text>
    </comment>
    <comment ref="BF17" authorId="19" shapeId="0" xr:uid="{FD58F42D-0E2D-4A71-AAC9-21EC712D41C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La seguente formula è stata modificata perché tiene conto soltanto della parte A (TUP 1 - 127gnc e decorrenza TU dal 10/11/23)</t>
      </text>
    </comment>
    <comment ref="AV19" authorId="9" shapeId="0" xr:uid="{1BDE5B90-6C49-4E4D-ACE1-0DDDE9A6BC2D}">
      <text>
        <r>
          <rPr>
            <b/>
            <sz val="9"/>
            <color indexed="81"/>
            <rFont val="Tahoma"/>
            <family val="2"/>
          </rPr>
          <t>CANTONE TOMMASO:</t>
        </r>
        <r>
          <rPr>
            <sz val="9"/>
            <color indexed="81"/>
            <rFont val="Tahoma"/>
            <family val="2"/>
          </rPr>
          <t xml:space="preserve">
Da gantt di previsione aggiornato al 09/01/25</t>
        </r>
      </text>
    </comment>
    <comment ref="AW19" authorId="9" shapeId="0" xr:uid="{5209EA3F-2939-4732-92E4-0CE512392E8E}">
      <text>
        <r>
          <rPr>
            <b/>
            <sz val="9"/>
            <color indexed="81"/>
            <rFont val="Tahoma"/>
            <family val="2"/>
          </rPr>
          <t>CANTONE TOMMASO:</t>
        </r>
        <r>
          <rPr>
            <sz val="9"/>
            <color indexed="81"/>
            <rFont val="Tahoma"/>
            <family val="2"/>
          </rPr>
          <t xml:space="preserve">
Da gantt di previsione aggiornato al 09/01/25</t>
        </r>
      </text>
    </comment>
    <comment ref="CB19" authorId="20" shapeId="0" xr:uid="{51A5DA49-8F30-482D-9B27-A50CCE0FB39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CC19" authorId="21" shapeId="0" xr:uid="{28CD0406-FC14-44BB-9C84-C067F031D805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CE19" authorId="22" shapeId="0" xr:uid="{DEA28487-5291-430B-854D-7D30F246FEA6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CN19" authorId="23" shapeId="0" xr:uid="{2C7285F6-56AB-4622-AC12-99F865C30A9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CO19" authorId="24" shapeId="0" xr:uid="{6CBC1B2F-F4EF-4AC4-BF8F-0F89D920DCFF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CQ19" authorId="25" shapeId="0" xr:uid="{39C0F157-0007-4146-B53D-912ACD57A90E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non si considerano i consuntivi al 30/04/25</t>
      </text>
    </comment>
    <comment ref="X31" authorId="26" shapeId="0" xr:uid="{C49673C5-80D6-406C-8C75-DAFCF719C89A}">
      <text>
        <r>
          <rPr>
            <sz val="11"/>
            <color theme="1"/>
            <rFont val="Calibri"/>
            <family val="2"/>
            <scheme val="minor"/>
          </rPr>
          <t>CONSEGNA LAVORI PARTE A1 TRENTO MALE'
IN ATTESA DELLA CONSEGNA PARTE A2 SUD PREVISTA PER IL 30/11/2023 E DELLA SUCCESSIVA CONSEGNA PARTE A3</t>
        </r>
      </text>
    </comment>
    <comment ref="AG37" authorId="27" shapeId="0" xr:uid="{678230E3-4F54-463A-9359-B15066FF16DF}">
      <text>
        <r>
          <rPr>
            <sz val="11"/>
            <color theme="1"/>
            <rFont val="Calibri"/>
            <family val="2"/>
            <scheme val="minor"/>
          </rPr>
          <t>DA CONTRATTO DECORRENZA DA CP!</t>
        </r>
      </text>
    </comment>
    <comment ref="AP37" authorId="27" shapeId="0" xr:uid="{28466C3B-3262-4914-A061-D8C8B33213A8}">
      <text>
        <r>
          <rPr>
            <sz val="11"/>
            <color theme="1"/>
            <rFont val="Calibri"/>
            <family val="2"/>
            <scheme val="minor"/>
          </rPr>
          <t>DURATA DA CP</t>
        </r>
      </text>
    </comment>
    <comment ref="AQ37" authorId="28" shapeId="0" xr:uid="{E6F75011-7BEF-4718-AC7C-924FC020E80D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da CL</t>
      </text>
    </comment>
  </commentList>
</comments>
</file>

<file path=xl/sharedStrings.xml><?xml version="1.0" encoding="utf-8"?>
<sst xmlns="http://schemas.openxmlformats.org/spreadsheetml/2006/main" count="941" uniqueCount="522">
  <si>
    <t>DATA DI RIFERIMENTO/STATO</t>
  </si>
  <si>
    <t>x</t>
  </si>
  <si>
    <t>AREA GEOGRAFICA</t>
  </si>
  <si>
    <t>RIFERIMENTO CITTA' (X MAPPA)</t>
  </si>
  <si>
    <t>Itinerario</t>
  </si>
  <si>
    <t>Appalto</t>
  </si>
  <si>
    <t>APPALTI PNRR</t>
  </si>
  <si>
    <t>Nome Breve</t>
  </si>
  <si>
    <t>OWNER</t>
  </si>
  <si>
    <t>GESTIONE DIGITALE DALUX
(SI - NO)</t>
  </si>
  <si>
    <t>PM</t>
  </si>
  <si>
    <t>DL / CSL</t>
  </si>
  <si>
    <t>Tipologia</t>
  </si>
  <si>
    <t>CONSORZIO/RTI/ATI</t>
  </si>
  <si>
    <t>Appaltatori</t>
  </si>
  <si>
    <t>Importo contrattuale (al netto di progettazione, sicurezza) aggiornato all'ultimo atto ufficiale</t>
  </si>
  <si>
    <t>Importo contrattuale (SOLO OOCC)</t>
  </si>
  <si>
    <t>Data Consegna Prestazioni (CP)</t>
  </si>
  <si>
    <t>Data ATTESA Consegna Lavori A (ove presente)</t>
  </si>
  <si>
    <t>Durata lavori Parte A (da OT)</t>
  </si>
  <si>
    <t>Data ATTESA Consegna Lavori B o unica</t>
  </si>
  <si>
    <t>Durata lavori Parte B (da OT)</t>
  </si>
  <si>
    <t>Data PREVISIONALE Consegna Lavori A a seguito degli aggiornamenti disponibili</t>
  </si>
  <si>
    <t>Data PREVISIONALE Consegna Lavori B (o unica) a seguito degli aggiornamenti disponibili</t>
  </si>
  <si>
    <t>Data EFFETTIVA Consegna Lavori A (ove presente)</t>
  </si>
  <si>
    <t>Delta tempo CLA ATTESA -CP (in mesi)</t>
  </si>
  <si>
    <t>Delta tempo CLB ATTESA -CP (in mesi)</t>
  </si>
  <si>
    <t>Delta tempo CLA attesa-CLA effettiva (in mesi)</t>
  </si>
  <si>
    <t>Data EFFETTIVA Consegna Lavori B o unica</t>
  </si>
  <si>
    <t>Ritardo avvio lavori (Delta tempo CLB-CP) in mesi</t>
  </si>
  <si>
    <t>Delta tempo CLB-CLA (in mesi)</t>
  </si>
  <si>
    <t>Delta tempo CLB attesa-CLB effettiva (in mesi)</t>
  </si>
  <si>
    <t>RITARDO TOTALE CLB - CP</t>
  </si>
  <si>
    <t>Decorrenza Termini Utili parte A</t>
  </si>
  <si>
    <t>Decorrenza Termini Utili parte B (o unica)</t>
  </si>
  <si>
    <t>Delta tempo tra decorrenza e CL (in mesi)</t>
  </si>
  <si>
    <t>Delta TOTALE (decorrenza-CL Attesa)</t>
  </si>
  <si>
    <t>Durata lavori PL di progetto (rev. 1)</t>
  </si>
  <si>
    <t>Durata lavori PL di progetto (rev. 2)</t>
  </si>
  <si>
    <t>Durata lavori PL di progetto (rev. 3)</t>
  </si>
  <si>
    <t>Durata lavori PL di gara [fine lavori]</t>
  </si>
  <si>
    <t>Durata lavori PL da Offerta Tecnica [fine lavori]</t>
  </si>
  <si>
    <t>Durata lavori Contrattuale ORIGINARIA [Fine Lavori] in gnc</t>
  </si>
  <si>
    <t>Durata lavori Contrattuale ATTUALE [Fine Lavori] in gnc</t>
  </si>
  <si>
    <t>Data Fine Lavori Contrattuale ORIGINARIA</t>
  </si>
  <si>
    <t>Data Fine Lavori Contrattuale ATTUALE</t>
  </si>
  <si>
    <t>Attivazione Contrattuale ORIGINARIA</t>
  </si>
  <si>
    <t>Attivazione Contrattuale AGGIORNATA CON PROROGHE/ACCELERAMENTO</t>
  </si>
  <si>
    <t>Data fine lavori prevista</t>
  </si>
  <si>
    <t>Attivazione Prevista</t>
  </si>
  <si>
    <t>N° PROROGHE RICONOSCIUTE</t>
  </si>
  <si>
    <t>N° GIORNI TOTALI RICONOSCIUTI CON PROROGHE SU FINE LAVORI</t>
  </si>
  <si>
    <t>NOTE sui Tempi Contrattuali</t>
  </si>
  <si>
    <t>NOTE su previsione</t>
  </si>
  <si>
    <t>Mese di Riferimento</t>
  </si>
  <si>
    <t>Importo SIL Mensile Effettivo</t>
  </si>
  <si>
    <t>Importo SIL Cumulato Atteso (contrattuale)</t>
  </si>
  <si>
    <t>Importo SIL Cumulato effettivo</t>
  </si>
  <si>
    <t>Avanz. Temporale</t>
  </si>
  <si>
    <t>% Avanz. Economico atteso</t>
  </si>
  <si>
    <t>% Avanz. Economico Effettivo</t>
  </si>
  <si>
    <t xml:space="preserve">Delta % Avanzamento </t>
  </si>
  <si>
    <t>Delta TUC</t>
  </si>
  <si>
    <t>Delta Attivazione</t>
  </si>
  <si>
    <t>NOTA</t>
  </si>
  <si>
    <t>CHECK SU PNRR</t>
  </si>
  <si>
    <t>DENTRO PNRR</t>
  </si>
  <si>
    <t>DATA TARGET</t>
  </si>
  <si>
    <t>IN LINEA/EVENTUALI RITARDI</t>
  </si>
  <si>
    <t>NOTA SU EVENTUALI RITARDI</t>
  </si>
  <si>
    <t>GANTT DI SINTESI</t>
  </si>
  <si>
    <t>PROSPETTO STORICO TERMINI UTILI</t>
  </si>
  <si>
    <t>AGGIORNAMENTO ULTIMA TRIMESTRALE</t>
  </si>
  <si>
    <t>TABULATO PRODUZIONI</t>
  </si>
  <si>
    <t>CURVA S AGGIORNATA</t>
  </si>
  <si>
    <t>Importo SIL Cumulato Atteso (contrattuale) - SOLO OOCC</t>
  </si>
  <si>
    <t>Importo SIL Cumulato effettivo - SOLO OOCC</t>
  </si>
  <si>
    <t>Importo Opere PNRR (da PL PNRR se diverso da PLO contrattuale)</t>
  </si>
  <si>
    <t>Importo SIL Cumulato Atteso (da PL PNRR se diverso da PLO contrattuale)</t>
  </si>
  <si>
    <t>Importo SIL Mensile Effettivo (da PL PNRR se diverso da PLO contrattuale)</t>
  </si>
  <si>
    <t>Importo SIL Cumulato effettivo (da PL PNRR se diverso da PLO contrattuale)</t>
  </si>
  <si>
    <t>SITUAZIONE AVANZAMENTO</t>
  </si>
  <si>
    <t>NOTE</t>
  </si>
  <si>
    <t>KM WBS PNRR</t>
  </si>
  <si>
    <t>TARGET</t>
  </si>
  <si>
    <t>MESE RIFERIM.</t>
  </si>
  <si>
    <t>IMPORTO CONTRATTUALE</t>
  </si>
  <si>
    <t>Importo Opere PNRR (da PL PNRR se diverso da PLO contrattuale) mln €</t>
  </si>
  <si>
    <t>Importo SIL Cumulato Atteso (da PL PNRR se diverso da PLO contrattuale) mln €</t>
  </si>
  <si>
    <t>Importo SIL Cumulato effettivo (da PL PNRR se diverso da PLO contrattuale) mln €</t>
  </si>
  <si>
    <t>CENTRO</t>
  </si>
  <si>
    <t>CANCELLO</t>
  </si>
  <si>
    <t>NA-BA</t>
  </si>
  <si>
    <t>IF14.1R01.A01</t>
  </si>
  <si>
    <t>SI</t>
  </si>
  <si>
    <t>Napoli Cancello</t>
  </si>
  <si>
    <t>MANGINELLI</t>
  </si>
  <si>
    <t>NO</t>
  </si>
  <si>
    <t>BEVACQUA NATALE</t>
  </si>
  <si>
    <t>MALAGNINO GIUSEPPE</t>
  </si>
  <si>
    <t>Integrato / Esecuzione</t>
  </si>
  <si>
    <t>CONSORZIO NACAV</t>
  </si>
  <si>
    <t xml:space="preserve"> WEBUILD</t>
  </si>
  <si>
    <t>-</t>
  </si>
  <si>
    <t>Sottoscritto Proroga Acceleramento</t>
  </si>
  <si>
    <t>€ 7.500.043,04</t>
  </si>
  <si>
    <t>Tempi in linea con la Proroga dell'Acceleramento in fase di sottoscrizione. Sottoproduzioni legate ad armamento, TE ed impianti che impediscono l'avvio dell'iter di agenzia.</t>
  </si>
  <si>
    <t>NACA GANTT SINTESI</t>
  </si>
  <si>
    <t>Ultimo Mensile Accelerato</t>
  </si>
  <si>
    <t>Tabulato Produzioni</t>
  </si>
  <si>
    <t>Curva SIL</t>
  </si>
  <si>
    <t>Tempi in linea con la Proroga dell'Acceleramento in fase di sottoscrizione</t>
  </si>
  <si>
    <t>ATTIVAZIONE</t>
  </si>
  <si>
    <t>GALASSO GIUSEPPE</t>
  </si>
  <si>
    <t>AMOROSI</t>
  </si>
  <si>
    <t>IF15.2R01.A01</t>
  </si>
  <si>
    <t>Frasso Telesino - Telese</t>
  </si>
  <si>
    <t>ATI FRASCAR</t>
  </si>
  <si>
    <t>PIZZAROTTI - ITINERA - GHELLA - SALCEF</t>
  </si>
  <si>
    <t>Tempi Contrattuali riferiti alla 2° Proroga in fase di formalizzazione da parte della Committenza</t>
  </si>
  <si>
    <t>Si sta redigendo il nuovo PLO Contrattuale</t>
  </si>
  <si>
    <t xml:space="preserve">In corso di definizione di acceleramento. Si registrano lievi sottoproduzioni  delle OOCC e GA02 </t>
  </si>
  <si>
    <t>+ 12 mesi</t>
  </si>
  <si>
    <t>Non esiste ancora una riprogrammazione delle attività dopo la data di stato e i format dei Tabulati economici non sono i nostri da standard ma, momentanemanete, quelli condivisi dall'Appaltatore in attesa che la Committenza formalizzi la Proroga e l'Appaltatore rediga il nuovo PLO Contrattuale.</t>
  </si>
  <si>
    <t>FTT - Gantt di Sintesi.pdf</t>
  </si>
  <si>
    <t>Ultima Trimestrale</t>
  </si>
  <si>
    <t>Tabulato Produzioni.xlsx</t>
  </si>
  <si>
    <t>Curva SIL aggiornata</t>
  </si>
  <si>
    <t>PLO PNRR Non Disponibile.</t>
  </si>
  <si>
    <t>NUOVO BINARIO DISPARI</t>
  </si>
  <si>
    <t>SAN LORENZO MAGGIORE</t>
  </si>
  <si>
    <t>IF15.2R02.A01</t>
  </si>
  <si>
    <t>Telese - San Lorenzo Maggiore - Vitulano</t>
  </si>
  <si>
    <t>BARBATO</t>
  </si>
  <si>
    <t>GRIMALDI MARCO</t>
  </si>
  <si>
    <t>CONSORZIO TELESE</t>
  </si>
  <si>
    <t>GHELLA</t>
  </si>
  <si>
    <t>15/09/2022</t>
  </si>
  <si>
    <t>A seguito di proroga è stato riconosciuto l'acceleramento</t>
  </si>
  <si>
    <t>DENTRO CON  ACCELERAMENTO</t>
  </si>
  <si>
    <t>IN LINEA</t>
  </si>
  <si>
    <t>TESAV - Gantt di Sintesi</t>
  </si>
  <si>
    <t>sottoproduzione dovuta a ritardi sulla GN07 e VI20-VI21</t>
  </si>
  <si>
    <t>PUNZO</t>
  </si>
  <si>
    <t>Tabulato produzioni</t>
  </si>
  <si>
    <t>Elenco WBS</t>
  </si>
  <si>
    <t>IRPINIA</t>
  </si>
  <si>
    <t>IF16.2R01.A01</t>
  </si>
  <si>
    <t>Hirpinia - Orsara</t>
  </si>
  <si>
    <t>LUIGI VISCOVO</t>
  </si>
  <si>
    <t>TOMMASO GALTIERI</t>
  </si>
  <si>
    <t xml:space="preserve">HIRPINIA ORSARA AV </t>
  </si>
  <si>
    <t xml:space="preserve"> WEBUILD - PIZZAROTTI</t>
  </si>
  <si>
    <t>In fase di Istruttoria 1° Proroga</t>
  </si>
  <si>
    <t>In fase di Istruttoria la 1° Proroga. Ritardo della partenza delle 4 TBM per problemi agli imbocchi dovuti a Geologia e Trovanti</t>
  </si>
  <si>
    <t>FUORI</t>
  </si>
  <si>
    <t>In fase di Istruttoria la 1° Proroga. Le 4 TBM non ancora partite per problemi agli imbocchi dovuti a Geologia e Trovanti.</t>
  </si>
  <si>
    <t>H-O_Gantt Sintesi Confronto</t>
  </si>
  <si>
    <t>Curva SIL Aggiornata.xlsx</t>
  </si>
  <si>
    <t>ORSARA</t>
  </si>
  <si>
    <t>IF16.3R01.A01</t>
  </si>
  <si>
    <t>Orsara - Bovino</t>
  </si>
  <si>
    <t>MARCO RUSSO</t>
  </si>
  <si>
    <t>BOVINO ORSARA AV</t>
  </si>
  <si>
    <t>In attesa di formalizzazione della 1° Proroga</t>
  </si>
  <si>
    <t>Le Criticità SNAM (beole CO01 ed NV01), ANAS (firma Conven.) e Trovanti su GI02 impattano sui TU secondo quanto esposta dall'appaltatore. Dovranno essere eseguite le dovute analisi sugli impatti.</t>
  </si>
  <si>
    <t>Sottoproduzione dovuta a rallentamenti sullo scavo in TBM.</t>
  </si>
  <si>
    <t>O-B_Gantt di Sintesi.pdf</t>
  </si>
  <si>
    <t>Curva SIL aggiornata.xlsx</t>
  </si>
  <si>
    <t>SUD</t>
  </si>
  <si>
    <t>MIGLIONICO</t>
  </si>
  <si>
    <t>Nuova Linea Ferrandina - Matera</t>
  </si>
  <si>
    <t>IA11.1R01.A01</t>
  </si>
  <si>
    <t>Ferrandina - Matera</t>
  </si>
  <si>
    <t>ANGRISANO</t>
  </si>
  <si>
    <t>COLONNA</t>
  </si>
  <si>
    <t>SARDONE</t>
  </si>
  <si>
    <t>ICM</t>
  </si>
  <si>
    <t xml:space="preserve">con AIM n.1 i lavori sono stati divisi in Fase A (GI03) e B
con AIM n.2 i lavori di Fase B sono stati ulteriormente divisi in Fase B1 (tutto tranne GI03 e VI01) e B2 (VI01)
</t>
  </si>
  <si>
    <t>ritardi nella realizzazione dei pali del VI13
a mag25 in fase di realizzazione primo ordine di tiranti imbocco GI03, l'inizio dello scavo della finestra era previsto il 18/05/2025</t>
  </si>
  <si>
    <t>PLO Contrattuale di Fase B1 non approvato. Produzione cumulata attesa desunta da PLO approvato per la Fase A e da PLE per la fase B1. Da allegato 9 all'AIM n.2 erano previsti 12 mln di SIL alla prima Milestono Quadrimestrale di controllo (31/03/2025). Fase B2 non ancora consegnata.</t>
  </si>
  <si>
    <t>gantt di sintesi FERR-MATE da PLE</t>
  </si>
  <si>
    <t>Curva S aggiornata Fase A</t>
  </si>
  <si>
    <t>fase ancora iniziale, non si riscontrano impedimenti oggettivi</t>
  </si>
  <si>
    <t>SALERNO</t>
  </si>
  <si>
    <t>Metro SA</t>
  </si>
  <si>
    <t>NN14.1R01.A01</t>
  </si>
  <si>
    <t>Metro SA - tratta Arechi-Pontecagnano aeroporto</t>
  </si>
  <si>
    <t>D'AMORE ILARIA</t>
  </si>
  <si>
    <t>Salvatore Marra</t>
  </si>
  <si>
    <t>ETERIA CONSORZIO STABILE SCARL</t>
  </si>
  <si>
    <t>ITINERA S.p.A., VIANINI LAVORI S.p.A., I.CO.P. S.p.A., RCM COSTRUZIONI S.r.l., G.C.F., BRANCACCIO COSTRUZIONI S.r.l.</t>
  </si>
  <si>
    <t>In attesa di trasmissione PLO contrattuale rivisto in funzione della variazione dello scenario interruttivo</t>
  </si>
  <si>
    <t>Metro SA_Gantt di Sintesi</t>
  </si>
  <si>
    <t>CURVA SIL aggiornata</t>
  </si>
  <si>
    <t>WBS</t>
  </si>
  <si>
    <t>TRAPANI</t>
  </si>
  <si>
    <t>PA-TP</t>
  </si>
  <si>
    <t>RS06.1R03.A01</t>
  </si>
  <si>
    <t>Ripristino della linea PA-TP</t>
  </si>
  <si>
    <t>MOLINARI</t>
  </si>
  <si>
    <t>FRANCESCO ZAMBONELLI</t>
  </si>
  <si>
    <t>GIUSEPPE LI PUMA</t>
  </si>
  <si>
    <t>RICCIARDELLO COSTRUZIONI SPA (mandataria)/SE.GE.CO. SRL (mandante)</t>
  </si>
  <si>
    <t>RICCIARDELLO COSTRUZIONI - SE.GE.CO. SRL</t>
  </si>
  <si>
    <t>I principali ritardi registrati ad oggi sono riconducibili al ritrovamento di una condotta in amianto, alla variante tombini idraulici (per i quali è stato coinvolto il CCT) e alla inadeguata organizzazione dell'Appaltatore che continua a risultare carente sull'impiego di manodopera e mezzi.</t>
  </si>
  <si>
    <t>CATENANUOVA</t>
  </si>
  <si>
    <t>PA-CT-ME</t>
  </si>
  <si>
    <t>RS20.1R01.A01</t>
  </si>
  <si>
    <t>Bicocca - Catenanuova (Lotto 6)</t>
  </si>
  <si>
    <t>SALVATORE VANADIA</t>
  </si>
  <si>
    <t>SAVERIO DE LUCA</t>
  </si>
  <si>
    <t>S. AGATA FS</t>
  </si>
  <si>
    <t>Webuild - Partecipazioni Italia - S.I.F.EL. - C.L.F.</t>
  </si>
  <si>
    <t>TUC aggiornato con 6^proroga.
Importo SIL Cumulato Atteso assente per mancanza PLO coerente alla proroga</t>
  </si>
  <si>
    <t>SIL atteso non definito in assenza di PLO che recepisce la proroga</t>
  </si>
  <si>
    <t>curva SIL_PLO revL</t>
  </si>
  <si>
    <t>Linea consegnata alla Committenza, in corso opere di finitura extralinea. SIL atteso stimatoo in assenza di PLO che recepisca la proroga</t>
  </si>
  <si>
    <t xml:space="preserve">Linea </t>
  </si>
  <si>
    <t>Attivazione</t>
  </si>
  <si>
    <t>non prevista dashboard</t>
  </si>
  <si>
    <t>DITTAINO</t>
  </si>
  <si>
    <t>RS20.1R05.A01</t>
  </si>
  <si>
    <t>Catenanuova - Dittaino (Lotto 5)</t>
  </si>
  <si>
    <t>ROMEO</t>
  </si>
  <si>
    <t>PIETRO PIRAINO</t>
  </si>
  <si>
    <t xml:space="preserve">Consorzio </t>
  </si>
  <si>
    <t>Rizzani De Eccher-Manelli-Sacaim</t>
  </si>
  <si>
    <t>+13 mesi</t>
  </si>
  <si>
    <t>Ad oggi nessuno scavo delle GN sul percorso critico è stato avviato.</t>
  </si>
  <si>
    <t>ULTIMA TRIMESTRALE</t>
  </si>
  <si>
    <t>CALTANISSETTA</t>
  </si>
  <si>
    <t>RS20.1R07.A01</t>
  </si>
  <si>
    <t>Enna - Caltanissetta X.  (Lotto 4a)</t>
  </si>
  <si>
    <t>BARTOLO MACALUSO</t>
  </si>
  <si>
    <t>Consorzio Triscelio</t>
  </si>
  <si>
    <t>WeBuild - Ghella - Tunnelpro - Seli Overseas</t>
  </si>
  <si>
    <t>Ritardi su CLB dovuti al tema APPROVVIGIONAMENTI. Opere di Parte A in completamento, in attesa dell'ufficialità della concessione di Proroga propedeutica al riconoscimento dei giorni necessari per effettuare il taglio alberi e completare le attività sull'imbocco GI02 (Montestretto Lato CT).</t>
  </si>
  <si>
    <t>L4a_Gantt di sintesi</t>
  </si>
  <si>
    <t>UTLIMA TRIMESTRALE</t>
  </si>
  <si>
    <t>LERCARA</t>
  </si>
  <si>
    <t>RS20.1R08.A01</t>
  </si>
  <si>
    <t>Lercara - Caltanissetta X. (Lotto 3)</t>
  </si>
  <si>
    <t>Consorzio Triscelio 3</t>
  </si>
  <si>
    <t>WeBuild - Pizzarotti - Ghella</t>
  </si>
  <si>
    <t>Nei mesi di Lug-Set 25 non ci sono produzioni mensili di Parte A ma solo di Parte B (l'importo rimanente di parte A ricade quota parte su Monitoraggio, Gestione Terre e GI18)</t>
  </si>
  <si>
    <t>Ritardi su CLB dovuti al tema APPROVVIGIONAMENTI. Opere di Parte A in completamento, l'importo rimanente di parte A ricade quota parte su Monitoraggio, Gestione Terre e GI18 (in attesa che si esprima il CCT).</t>
  </si>
  <si>
    <t>L3_Gantt di sintesi</t>
  </si>
  <si>
    <t>FIUMETORTO</t>
  </si>
  <si>
    <t>RS20.1R09.A01</t>
  </si>
  <si>
    <t>Fiumetorto - Lercara (Lotto 1+2)</t>
  </si>
  <si>
    <t>Consorzio Kassar</t>
  </si>
  <si>
    <t>WeBuild - Ghella - Tunnelpro</t>
  </si>
  <si>
    <t>Sembrerebbe che i lavori siano completati. Rimangono degli importi da contrattualizzare a seguito di alcune modifiche su MU96 (versante in frana presso GI01).
Il 06/10 è stato firmato un AdS.</t>
  </si>
  <si>
    <t>Ritardi su CLB dovuti al tema APPROVVIGIONAMENTI. Opere di Parte A in completamento. Il 06/10 è stato firmato un AdS per far seguito ad alcune modifiche su MU96 (versante in frana presso GI01).</t>
  </si>
  <si>
    <t>L1+2_Gantt di sintesi</t>
  </si>
  <si>
    <t>CATANIA</t>
  </si>
  <si>
    <t>RS26.2R02.A01</t>
  </si>
  <si>
    <t>Interramento Nodo di Catania</t>
  </si>
  <si>
    <t>ANDREA PALUMBO</t>
  </si>
  <si>
    <t>VIVIANA DI CACCAMO</t>
  </si>
  <si>
    <t>RTI NC</t>
  </si>
  <si>
    <t>ETERIA</t>
  </si>
  <si>
    <t>+1 mesi</t>
  </si>
  <si>
    <t>Ritardo stimato di 1 mesi per criticità sulla realizzazione dei diaframmi.</t>
  </si>
  <si>
    <t>TAORMINA</t>
  </si>
  <si>
    <t>CANTONE</t>
  </si>
  <si>
    <t>DOMENICO COMMISSO</t>
  </si>
  <si>
    <t>Gantt sintesi con previsione</t>
  </si>
  <si>
    <t>Curva S</t>
  </si>
  <si>
    <t xml:space="preserve">IL PM HA DECISO DI NON SEGUIRE L'IMPORTO ATTRIBUITO DALL'APPALTATORE, NEL PLO PNRR,  AGLI SCAVI MECCANIZZATI.
PER IL MONITORAGGIO ECONOMICO DEL PNRR SI E' DECISO DI MONITORARE IL SOLO PERIODO RIMANENTE (DA MAG-25 A GIU-26), SENZA TENER CONTO DI QUANTO CONSUNTIVATO NEL PERIODO ANTECEDENTE. </t>
  </si>
  <si>
    <t>RS27.1R01.A01</t>
  </si>
  <si>
    <t>Giampilieri - Fiumefreddo (Lotto 1)</t>
  </si>
  <si>
    <t>CONSORZIO ME-CT LOTTO SUD</t>
  </si>
  <si>
    <t>31/05/2022</t>
  </si>
  <si>
    <t>3.291.808,45 €</t>
  </si>
  <si>
    <t>178.828.180,62 €</t>
  </si>
  <si>
    <t>60.780.488,83 €</t>
  </si>
  <si>
    <t xml:space="preserve">
Criticità sullo scavo meccanizzato della GN Taormina per fermo TBM dovuito a nuovo cambio di configurazione (da modalità open a closed).</t>
  </si>
  <si>
    <t>4,71</t>
  </si>
  <si>
    <t>NISCEMI</t>
  </si>
  <si>
    <t>CALTAGIRONE-GELA</t>
  </si>
  <si>
    <t>RS23.1R03.A01</t>
  </si>
  <si>
    <t>Ripristino tratta Caltagirone-Niscemi</t>
  </si>
  <si>
    <t>Manelli Costruzioni Generali</t>
  </si>
  <si>
    <t>Carenza organizzativa Appaltatore, numero maestranze inferiore alle attese contrattuali, ritardato avvio attività di BOE, indisponibilità aree di lavoro</t>
  </si>
  <si>
    <t>20,9</t>
  </si>
  <si>
    <t>BARI TORRE A</t>
  </si>
  <si>
    <t>BA-LC</t>
  </si>
  <si>
    <t>IA54.1R01.A01</t>
  </si>
  <si>
    <t>Bari Centrale - Bari Torre a Mare</t>
  </si>
  <si>
    <t>D'ADAMO</t>
  </si>
  <si>
    <t>CATALDO FRANCESCO</t>
  </si>
  <si>
    <t>GIUSEPPE SPARAPANO</t>
  </si>
  <si>
    <t>D’Agostino Angelo Antonio Costruzioni Generali Srl. (mandataria) – S.I.F.E.L. S.p.A. (mandante)</t>
  </si>
  <si>
    <t>Non è stato ancora consegnato nessun report da parte dell'Appaltatore</t>
  </si>
  <si>
    <t>Non è stato ancora consegnato nessun report da parte dell'Appaltatore, sono in corso delle sospensioni parziali e delle varianti, pertanto saranno sicuramente rivisti i termini utili</t>
  </si>
  <si>
    <t>+19 mesi</t>
  </si>
  <si>
    <t>Produzione molto in ritardo rispetto le attesse.  varianti in fase di sviluppo. Attualmente c'è una sospensione parziale su alcune WBS</t>
  </si>
  <si>
    <t>Gantt di Sintesi PLO Contrattuale</t>
  </si>
  <si>
    <t>ULTIMA TRIMESTALE</t>
  </si>
  <si>
    <t>PE-FG</t>
  </si>
  <si>
    <t>LIA3.1R01.A01</t>
  </si>
  <si>
    <t>Ripalta-Lesina</t>
  </si>
  <si>
    <t>ANTONIO REMINE</t>
  </si>
  <si>
    <t>30/06/2026</t>
  </si>
  <si>
    <t>Dopo il Primo Atto di Sottomissione sono stati rimodulati i Termini Utili, a seguito di varianti che hanno portato a degli scostamenti</t>
  </si>
  <si>
    <t>Alla data odierna, per gli scostamenti che si stanno registrando, sarà molto difficile rimanere nei termini esposti dal 1^AIM, che vedono la fine delle opere civili(compreso armamento) al 30/06/2026. Ci si aspetta una rimodulazione da parte dell'appaltatore in quanto il ritardo maturato è ascivibile a sue colpe</t>
  </si>
  <si>
    <t>Si sta riaccumulando ritardo a causa della ritardata individuazione da parte dell'appaltatore della ditta di armamento e del conglomerato bituminoso. Inoltre, si sono riscontrati ritardi produttivi in merito alla realizzazione della SSE provvisoria.</t>
  </si>
  <si>
    <t xml:space="preserve"> €45.468.096,59 </t>
  </si>
  <si>
    <t xml:space="preserve"> €39.374.171,78 </t>
  </si>
  <si>
    <t xml:space="preserve"> €32.055.919,11 </t>
  </si>
  <si>
    <t>LIA3.1R02.A01</t>
  </si>
  <si>
    <t>Termoli Ripalta</t>
  </si>
  <si>
    <t>Approvato a Maggio il Primo PLO</t>
  </si>
  <si>
    <t>Allo stato attuale i lavori della Parte A sono già usciti dai termini Utili esposti in contratto, le lavorazioni stanno procedendo a rilento rispetto il contratto per cause imputabili all'appaltatore. Alcune criticità sono presenti sulla risoluzione di alcuni sottoservizi e ritrovamenti archeologici</t>
  </si>
  <si>
    <t xml:space="preserve">GANTT DI SINTESI PLO </t>
  </si>
  <si>
    <t>FIRENZE</t>
  </si>
  <si>
    <t>MI-NA</t>
  </si>
  <si>
    <t>NF21.1R01.A01</t>
  </si>
  <si>
    <t>Passante AV Firenze</t>
  </si>
  <si>
    <t>TAPPARELLO PAOLO</t>
  </si>
  <si>
    <t>DAVIDE GAMBINO</t>
  </si>
  <si>
    <t>CONSORZIO FLORENTIA</t>
  </si>
  <si>
    <t>PIZZAROTTI</t>
  </si>
  <si>
    <t>23/6/29</t>
  </si>
  <si>
    <t>Avvio scavo TBM Passante AV previsto il 24/08/23 ma non avviato per ritardo su consegna aree FDB e consolidamenti</t>
  </si>
  <si>
    <t>Sottoproduzioni dello scavo meccanizzato causati dai ritardi sui consolidamenti delle aree esterne e dai trasporti tramite carrello ferroviario.</t>
  </si>
  <si>
    <t>NF_Gantt di sintesi</t>
  </si>
  <si>
    <t>6 TRIM</t>
  </si>
  <si>
    <t>tabulato produzioni</t>
  </si>
  <si>
    <t>curva SIL_6TRIM</t>
  </si>
  <si>
    <t>NORD</t>
  </si>
  <si>
    <t>BRESSANONE</t>
  </si>
  <si>
    <t>VERONA - BRENNERO</t>
  </si>
  <si>
    <t>IB05.1R02.A01</t>
  </si>
  <si>
    <t>Fortezza - Ponte Gardena (Lotto1)</t>
  </si>
  <si>
    <t>PEMPORI</t>
  </si>
  <si>
    <t>ZACCARIA</t>
  </si>
  <si>
    <t>Consorzio Dolomiti</t>
  </si>
  <si>
    <t>WEBUILD - IMPLENIA</t>
  </si>
  <si>
    <t>con nota prot. ACGN.PMBRVT.0029779.22.U del 07/03/2022 Italferr, per conto della Committenza, comunicava all’Appaltatore l’accoglimento della proroga di 60 gnc sul termine utile per lo sviluppo della Progettazione Esecutiva delle Opere di Parte B a condizione di un recupero di tali tempi sul TUF che sarebbe quindi passato da 2460 gnc a 2400 gnc</t>
  </si>
  <si>
    <t>Potenziale criticità sul cantiere di Ponte Gardena: l'appaltatore ritiene necessario l'accesso alle aree di cantiere lato fiume Isarco entro 250 gnc dalla CL B. Tale accesso è determinato da altro Appalto (committenza RFI) che è stato consegnato con un ritardo importante rispetto a quanto previsto. TBM Forch a regima da feb 2025 (avvio previsto feb 24). TBM Funes fine montaggio previsto mag 2025 in seguito ad accoglimento prorogoga TUP 5 (previsto set 2024)
Potenziale criticità sul cantiere di Fortezza: l'appaltatore ritiene necessario l'accesso ad aree di cantiere lato via Riol entro 750 gnc dalla CLB. Tale accesso è determinato da altro Appalto (committenza BBT) ad oggi non ancora affidato.</t>
  </si>
  <si>
    <t xml:space="preserve">scavo TBM Forch a regime solo a feb2025 (previsto mar24) causa ritardo approvazione PUT (6 mesi) + sottoproduzione TBM (6/7 mesi)
PRG Ponte Gardena attivazione fase 1 ritardo 10 mesi causa IPO concesse in ritardo + indisponibilità accesso aree (ritardo sublotto)
fine montaggio TBM Funes riprogrammato a mag25 (previsto da PLO set24) no impedimenti oggettivi (+8 mesi)
scavo trad Chiusa ritardo 6/7 mesi di cui 4 per ritardo approvazione PUT + 1 per sezioni sfavorevoli + 2 sottoproduzione scavo trad </t>
  </si>
  <si>
    <t>Gantt di sintesi</t>
  </si>
  <si>
    <t>AV/AC</t>
  </si>
  <si>
    <t>IG06.3R01/4R01</t>
  </si>
  <si>
    <t>TVG</t>
  </si>
  <si>
    <t>PEREGO</t>
  </si>
  <si>
    <t>PIANTANIDA/TRAPANI</t>
  </si>
  <si>
    <t>COCIV</t>
  </si>
  <si>
    <t>30/06/2026 percorribilità BD</t>
  </si>
  <si>
    <t>XIII AIM del 21/11/2023 in attesa del PdR per metà Febbraio</t>
  </si>
  <si>
    <t>NG18.1R01</t>
  </si>
  <si>
    <t>NGE</t>
  </si>
  <si>
    <t>NUNNARI/SGRO'</t>
  </si>
  <si>
    <t>Ritardo di 260gnc ancora non ufficializzato dall'ultimo PC</t>
  </si>
  <si>
    <t xml:space="preserve">4AI secondo PC dic23 ha il maggior ritardo sulla fine lavori prevista rispetto gli altri AI </t>
  </si>
  <si>
    <t>BRESCIA</t>
  </si>
  <si>
    <t>IN07.1R01</t>
  </si>
  <si>
    <t>Brescia - Verona</t>
  </si>
  <si>
    <t>SANTELLI</t>
  </si>
  <si>
    <t>PAURI/MASENELLI</t>
  </si>
  <si>
    <t>VERONA</t>
  </si>
  <si>
    <t>IN09.1R01/1R02</t>
  </si>
  <si>
    <t>Verona - Bivio Vicenza</t>
  </si>
  <si>
    <t>CAMPARI GABRIELE</t>
  </si>
  <si>
    <t>PIOVANO/RIZZATO/BELLIZZI</t>
  </si>
  <si>
    <t>GC</t>
  </si>
  <si>
    <t>IRICAV 2</t>
  </si>
  <si>
    <t>Il target potrebbe essere rispettato in quanto il GC prevede di incrementare (come già fatto negli ultimi mesi) manodopera e mezzi così da recuperare la mancata produzione. Tale previsione si considera verosimile in quanto per tale intervento sono previste per la maggior parte opere all'aperto.</t>
  </si>
  <si>
    <t>Gantt di Sintesi VR-BIVIO</t>
  </si>
  <si>
    <t>CURVA SIL AGGIORNATA</t>
  </si>
  <si>
    <t>sottoproduzione generalizzata per ritardi del GC</t>
  </si>
  <si>
    <t>VICENZA</t>
  </si>
  <si>
    <t>IN09.2R01</t>
  </si>
  <si>
    <t>Attraversamento Vicenza</t>
  </si>
  <si>
    <t>PIOVANO</t>
  </si>
  <si>
    <t>Fine lavori aggiornata a seguito di I AIM, durata totale ridotta di 6 mesi</t>
  </si>
  <si>
    <t>Non risulta ancora disponibile il PdR contrattuale a seguito di I AIM.</t>
  </si>
  <si>
    <t>Non risulta ancora disponibile il PLO contrattuale a seguito di I AIM.</t>
  </si>
  <si>
    <t>MAURIZI</t>
  </si>
  <si>
    <t>TRENTO</t>
  </si>
  <si>
    <t>VE-FO</t>
  </si>
  <si>
    <t>IB05.1R03.A01</t>
  </si>
  <si>
    <t>Circonvallazione di Trento (Lotto3A)</t>
  </si>
  <si>
    <t>DEL MASCHIO</t>
  </si>
  <si>
    <t>CROCE'</t>
  </si>
  <si>
    <t>Consorzio TRIDENTUM</t>
  </si>
  <si>
    <t>WE BUILD</t>
  </si>
  <si>
    <t>Lavori di Parte A, suddivisi in A1 e A2, successivamente suddivisi inA2 Sud con decorrenza 10/06/24 A2 Nord consegnata 13/11/2024. Inerzia del'appaltatore fino alla sospensione parziale Opere A2 Nord del 22/02/2025. Ipotesi di ripresa al 01/10/2025.
Importo Aggiornato AdS n.4</t>
  </si>
  <si>
    <t>Convenzione viziata in quanto non previsto il PLO Contrattuale, in attesa di risoluzione Gestionale</t>
  </si>
  <si>
    <t>Consegna Parte A suddivisa in A1 e A2.
A1 Consegnata 10/7/23 e terminata 04/09/23;
A2Sud Consegnata 10/06/24 ed in corso
A2Nord consegnata 13/11/2024 con ultimazione Opere di Parte A al 12/10/2025
Sospensione Opere Nord dal 22/02/2025 con presunta ripresa al 01/10/2025.
Importo aggiornato al AdS n.4</t>
  </si>
  <si>
    <t>Da Ultima trimestrale permangono 92gnc di ritardo imputabili alle opere di A2 Nord, dove c'è una sospensione parziale delle opere e 118 a SUD. Nel Consuntivo ad oggi non sono stati conteggiati gli importi delle forniture delle TBM pari a € 31.959.648,00</t>
  </si>
  <si>
    <t>GANTT DI SINTESI CIRC TRENTO</t>
  </si>
  <si>
    <t>BERGAMO</t>
  </si>
  <si>
    <t>BG-ORIO</t>
  </si>
  <si>
    <t>NM29.1R01.A01</t>
  </si>
  <si>
    <t>Coll. Ferr. Stazione Bergamo - Aeroporto Orio</t>
  </si>
  <si>
    <t>RICCIARDI</t>
  </si>
  <si>
    <t>QUARANTOTTO</t>
  </si>
  <si>
    <t>SOLLAMI</t>
  </si>
  <si>
    <t>RTI D'AGOSTINO SEGECO</t>
  </si>
  <si>
    <t>CL PT.A AVVENUTA, PT.B DIVISA IN B1 e B2 con termini decorrenti da CL PT B1, approvata proroga di 78gnc.</t>
  </si>
  <si>
    <t>L'appaltatore ha trasmesso un PL PNRR che prevede attivazione al 28/07/26 (non condiviso da ITF). Con i ritardi acucmulati e CVT previste si stimano + 4mesi</t>
  </si>
  <si>
    <t>Non disponibile trimestrale perchè non è presente un PL contrattuale. Su PLE eseguita solo su parte A</t>
  </si>
  <si>
    <t>+4 MESI</t>
  </si>
  <si>
    <t>L'appaltatore ha trasmesso un PL PNRR che prevede attivazione al 28/07/26 (non condiviso da ITF). Con i ritardi accumulati e CVT previste si stimano + 4mesi</t>
  </si>
  <si>
    <t>GANTT SINTESI DA PLE PT B NON APPROV.</t>
  </si>
  <si>
    <t>N.D</t>
  </si>
  <si>
    <t>€ 5.869.953,66</t>
  </si>
  <si>
    <t>PLO PNRR NON APPROVATO IN QUANTO PREVEDE ATTIVAZIONE AL l 28/07/26 (non condiviso da ITF) E ASSENZA DI CVT INTERMEDIE. Nonostante cio' eseguita trim pnrr su dati disponibili, continua tendenza di sottoproduzione anche ad ottobre in quanto non avviate a settembre wbs critiche. dati depurati da forniture armamento</t>
  </si>
  <si>
    <t>N.D.</t>
  </si>
  <si>
    <t>le programmazioni al momento proposte dall'appaltatore non garantiscono il rispetto dei target PNRR</t>
  </si>
  <si>
    <t>MILANO ROGOREDO</t>
  </si>
  <si>
    <t>MI-PV</t>
  </si>
  <si>
    <t>NM20.1R04.A01</t>
  </si>
  <si>
    <t>Quadruplicamento Tratta Milano Rogoredo – Pavia. Fase Funzionale 1</t>
  </si>
  <si>
    <t>MANGANARO</t>
  </si>
  <si>
    <t>25/10/24</t>
  </si>
  <si>
    <t>1</t>
  </si>
  <si>
    <t>PE in ritardo, emesso AIM in cui si divide in PT.A, PT.B, PT. C. PT.A effettivamente consegnata - termini decorrono da CL PT.A</t>
  </si>
  <si>
    <t>PL RIMODULATO PER PDO, ATTIVAZIONE PREVISTA PER 15/11/27</t>
  </si>
  <si>
    <t>Non disponibile trimestrale perchè non è presente un PL contrattuale.PLE SUPERATO PER EFFETTO PROROGA</t>
  </si>
  <si>
    <t>+15 MESI</t>
  </si>
  <si>
    <t>PL RIMODULATO PER PDO, accumulato + 1 anno di ritardo su TUP 4 (1°ATTIVAZIONE PREVISTA)</t>
  </si>
  <si>
    <t>GANTT SINTESI MACROFASI</t>
  </si>
  <si>
    <t xml:space="preserve"> €18.696.337,27 </t>
  </si>
  <si>
    <t xml:space="preserve"> €9.244.716,42 </t>
  </si>
  <si>
    <t>PLO di riferimento REVE del 29/07/25. Da ottobre continua una sottoproduzione a causa della rinuncia da parte dell'Appaltatore alle interruzioni per le attività di spinta dei Tombini e del mancato avvio attività critiche. Criticità su sottoservizi non risolti. IMPORTO VALORE OPERE PNRR DA AGGIORNARE A VALLE CHIUSURA QUADRO ECONOMICO</t>
  </si>
  <si>
    <t>elenco WBS</t>
  </si>
  <si>
    <t xml:space="preserve">Da ottobre continua una sottoproduzione a causa della rinuncia da parte dell'Appaltatore alle interruzioni per le attività di spinta dei Tombini e del mancato avvio attività critiche. Criticità su sottoservizi non risolti </t>
  </si>
  <si>
    <t>FERRINI</t>
  </si>
  <si>
    <t>BARCHI</t>
  </si>
  <si>
    <t>IB15.1R01.A01</t>
  </si>
  <si>
    <t>Variante di Val di Riga</t>
  </si>
  <si>
    <t>MERLONGHI</t>
  </si>
  <si>
    <t>Attivazione da PNRR prevista al TUP4 572+150cvt</t>
  </si>
  <si>
    <t>Previsione da PLE rev.B, in attesa Revisione PLO</t>
  </si>
  <si>
    <t>Attivita' avviate solo sulla tratta Fortezza San Candido. fermi sulle restanti opere causa organizzazione app</t>
  </si>
  <si>
    <t>Le Opere di Parte A anche se consegnate al 1/7/24 non hanno ancora avuto un riscontro in campo, mentre con la consegna delle Opere di Parte B è stata effettuata il 1/10/24. In attesa di PLO controlli settimanali di avanzamento lavori DL/PM/Appaltatore. Data Obiettivo Riconsegna della Linea Fortezza-San Candido entro Dicembre 2025. Attivita' avviate solo sulla tratta Fortezza San Candido. &lt;&lt;&lt;&lt;&lt;fermi sulle restanti opere causa organizzazione app</t>
  </si>
  <si>
    <t>GANTT SINTESI PLE</t>
  </si>
  <si>
    <t xml:space="preserve">non esiste un PLO approvato, l'appaltatore non ha fornito un PL approvabile </t>
  </si>
  <si>
    <t>IB15.1R02.A01</t>
  </si>
  <si>
    <t>PRG Bressanone</t>
  </si>
  <si>
    <t>RTI VENETA21 S.r.l.</t>
  </si>
  <si>
    <t>In attesa Revisione PLO</t>
  </si>
  <si>
    <t xml:space="preserve"> In attesa di PLO controlli settimanali di avanzamento lavori DL/PM/Appaltatore</t>
  </si>
  <si>
    <t>GANTT PROSPETTO PRG</t>
  </si>
  <si>
    <t>NBZ1.2R01.A01</t>
  </si>
  <si>
    <t>Tunnel del Virgolo</t>
  </si>
  <si>
    <t>D'AGOSTINO</t>
  </si>
  <si>
    <t>Previsione da PLE rev.E, in attesa Revisione PLO</t>
  </si>
  <si>
    <t>GANTT SINTESI BASE GARA</t>
  </si>
  <si>
    <t>SALANDRA</t>
  </si>
  <si>
    <t>POTENZA - METAPONTO</t>
  </si>
  <si>
    <t>IA15.1R01.A01</t>
  </si>
  <si>
    <t>Grassano Bernalda</t>
  </si>
  <si>
    <t>22/01/2024</t>
  </si>
  <si>
    <t>17/9/24</t>
  </si>
  <si>
    <t> </t>
  </si>
  <si>
    <t>Registrati ritardi nella risoluzione delle interferenze che hanno causato un ritardi sui Rilevati.</t>
  </si>
  <si>
    <t>ALBACINA</t>
  </si>
  <si>
    <t>Orte-Falconara</t>
  </si>
  <si>
    <t>IR13.5R02</t>
  </si>
  <si>
    <t>Genga - PM228</t>
  </si>
  <si>
    <t>PM228 - Albacina</t>
  </si>
  <si>
    <t>LIPPOLIS</t>
  </si>
  <si>
    <t>NACCI</t>
  </si>
  <si>
    <t>17/05/2024</t>
  </si>
  <si>
    <t>18/04/2025</t>
  </si>
  <si>
    <t>16/06/2025</t>
  </si>
  <si>
    <t>16/04/2025</t>
  </si>
  <si>
    <t>In fase di Istruttoria il primo PLO dell'appalto</t>
  </si>
  <si>
    <t xml:space="preserve">In fase di Istruttoria il primo PLO dell'appaltore. </t>
  </si>
  <si>
    <t>Elenco WBS Solo OOCC</t>
  </si>
  <si>
    <t>OLBIA</t>
  </si>
  <si>
    <t>AEREOPORTO DI OLBIA</t>
  </si>
  <si>
    <t>RR09.1R02.A01</t>
  </si>
  <si>
    <t>Aereoporto di Olbia</t>
  </si>
  <si>
    <t>IACCARINO</t>
  </si>
  <si>
    <t>QUARTU</t>
  </si>
  <si>
    <t>RHO</t>
  </si>
  <si>
    <t>Rho - Gallarate</t>
  </si>
  <si>
    <t>LNM9.1R01</t>
  </si>
  <si>
    <t>Quadr. Rho - Gallarate e Racc. Y</t>
  </si>
  <si>
    <t>PAURI</t>
  </si>
  <si>
    <t>RTI</t>
  </si>
  <si>
    <t>Impresa Notari/
CLF/SIFEL/D'Auditorio costruzioni/ Quadrio Gaetano Costruzioni/Costruzioni Edili Baraldini Quirino</t>
  </si>
  <si>
    <t>247.276.594 €</t>
  </si>
  <si>
    <t>23/11/2023</t>
  </si>
  <si>
    <t>19/08/2024</t>
  </si>
  <si>
    <t>23/07/2028</t>
  </si>
  <si>
    <t> Attualmente non si ha un PLO contrattuale approvato. Il Termine utile parziale TUP A risulta scaduto (25.07.2025), è stata presentata una proroga, attualmente in verifica da parte di ITF. 
La consegna lavori di parte C non è ancora avvenuta</t>
  </si>
  <si>
    <t xml:space="preserve">In attesa di PLO aggiornato. </t>
  </si>
  <si>
    <t>+12 MESI</t>
  </si>
  <si>
    <t>PLO PNRR Disponibile, anche se non c'è un PLO contrattuale approvato. L'appalto non registra ritardi sulla parte PNRR.</t>
  </si>
  <si>
    <t>PLO PNRR Disponibile, anche se non c'è un PLO contrattuale approvato.</t>
  </si>
  <si>
    <t>LIVORNO</t>
  </si>
  <si>
    <t>GE-RM</t>
  </si>
  <si>
    <t>NL01.2R01.A01</t>
  </si>
  <si>
    <t>Scavalco di Livorno</t>
  </si>
  <si>
    <t>OMBRETTA OTTANELLI</t>
  </si>
  <si>
    <t>CEMES spa</t>
  </si>
  <si>
    <t>CEMES, BIT, Fontanini Ivano</t>
  </si>
  <si>
    <t>VI01 area 2 interclusa (da P9 a SPB) ALERT: nota RFI su indisponibilità scorte per 2025 e 2026</t>
  </si>
  <si>
    <t>2^ PROROGA del 26/08/25</t>
  </si>
  <si>
    <t>SIL atteso non definito in assenza di PLO che recepisce la proroga. Ritardi per indisponibilità di area 2 causa presenza di Idrocarburi</t>
  </si>
  <si>
    <t>CHIETI</t>
  </si>
  <si>
    <t>RM-PE</t>
  </si>
  <si>
    <t>IA12.1R01.A01</t>
  </si>
  <si>
    <t>Roma-Pescara Lotto 1 (Interporto D'Abruzzo - Manoppello)</t>
  </si>
  <si>
    <t>DELL'ANNA - PUNZO</t>
  </si>
  <si>
    <t>ANGELO IELARDI</t>
  </si>
  <si>
    <t>VIANNINI, ITINERA, SALCEF</t>
  </si>
  <si>
    <t>18/03/2025</t>
  </si>
  <si>
    <t>4,6</t>
  </si>
  <si>
    <t>SIL relativo alle sole opere di parte A. In corso di istruttoria PLO di parte B</t>
  </si>
  <si>
    <t xml:space="preserve">SIL relativo alle sole opere di parte A. In corso di istruttoria PLO di parte B. Ritardi dovuti agli aspetti organizzativi dell'appaltatore. </t>
  </si>
  <si>
    <t>IA12.1R01.A02</t>
  </si>
  <si>
    <t>Roma-Pescara Lotto 2 (Manoppello - Scafa)</t>
  </si>
  <si>
    <t>30/07/2025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</si>
</sst>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&quot;€&quot;#,##0.00_);[Red]\(&quot;€&quot;#,##0.00\)"/>
    <numFmt numFmtId="166" formatCode="[$-410]mmm\-yy;@"/>
    <numFmt numFmtId="167" formatCode="#,##0\ &quot;€&quot;"/>
    <numFmt numFmtId="168" formatCode="dd\/mm\/yyyy"/>
    <numFmt numFmtId="169" formatCode="0.0%"/>
    <numFmt numFmtId="171" formatCode="#,##0.00\ &quot;€&quot;"/>
    <numFmt numFmtId="174" formatCode="#,##0.0\ _€"/>
    <numFmt numFmtId="181" formatCode="#,##0.00\ _€"/>
    <numFmt numFmtId="182" formatCode="#,##0\ _€"/>
    <numFmt numFmtId="183" formatCode="[$€-2]\ #,##0.00;[Red]\-[$€-2]\ 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73938"/>
      <name val="Arial"/>
      <family val="2"/>
    </font>
    <font>
      <sz val="9"/>
      <color rgb="FF333333"/>
      <name val="Arial"/>
      <family val="2"/>
    </font>
    <font>
      <sz val="9"/>
      <name val="Arial"/>
      <family val="2"/>
    </font>
    <font>
      <i/>
      <sz val="9"/>
      <color rgb="FF333333"/>
      <name val="Arial"/>
      <family val="2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9"/>
      <color rgb="FF333333"/>
      <name val="Arial"/>
      <family val="2"/>
    </font>
    <font>
      <sz val="10"/>
      <name val="Arial"/>
      <family val="2"/>
    </font>
    <font>
      <sz val="9"/>
      <color rgb="FF000000"/>
      <name val="Calibri"/>
      <family val="2"/>
    </font>
    <font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73938"/>
      <name val="Arial"/>
      <family val="2"/>
    </font>
    <font>
      <sz val="12"/>
      <color rgb="FF000000"/>
      <name val="Calibri"/>
      <family val="2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FF0000"/>
      <name val="Arial"/>
      <family val="2"/>
    </font>
    <font>
      <sz val="12"/>
      <color rgb="FF000000"/>
      <name val="Calibri"/>
      <family val="2"/>
    </font>
    <font>
      <sz val="11"/>
      <color rgb="FF242424"/>
      <name val="Aptos Narrow"/>
      <family val="2"/>
    </font>
    <font>
      <b/>
      <sz val="13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253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4" fontId="6" fillId="3" borderId="3" xfId="0" applyNumberFormat="1" applyFont="1" applyFill="1" applyBorder="1"/>
    <xf numFmtId="49" fontId="7" fillId="2" borderId="4" xfId="0" applyNumberFormat="1" applyFont="1" applyFill="1" applyBorder="1" applyAlignment="1">
      <alignment horizontal="center" vertical="center" wrapText="1"/>
    </xf>
    <xf numFmtId="14" fontId="5" fillId="0" borderId="0" xfId="0" applyNumberFormat="1" applyFont="1"/>
    <xf numFmtId="0" fontId="11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4" borderId="0" xfId="0" applyFont="1" applyFill="1"/>
    <xf numFmtId="0" fontId="5" fillId="0" borderId="0" xfId="0" applyFont="1" applyAlignment="1">
      <alignment horizontal="left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6" borderId="4" xfId="0" applyNumberFormat="1" applyFont="1" applyFill="1" applyBorder="1" applyAlignment="1">
      <alignment horizontal="center" vertical="center" wrapText="1"/>
    </xf>
    <xf numFmtId="49" fontId="7" fillId="7" borderId="4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167" fontId="8" fillId="0" borderId="4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68" fontId="12" fillId="0" borderId="4" xfId="0" applyNumberFormat="1" applyFont="1" applyBorder="1" applyAlignment="1">
      <alignment horizontal="center" vertical="center"/>
    </xf>
    <xf numFmtId="168" fontId="8" fillId="3" borderId="4" xfId="0" applyNumberFormat="1" applyFont="1" applyFill="1" applyBorder="1" applyAlignment="1">
      <alignment horizontal="center" vertical="center"/>
    </xf>
    <xf numFmtId="168" fontId="13" fillId="0" borderId="4" xfId="0" applyNumberFormat="1" applyFont="1" applyBorder="1" applyAlignment="1">
      <alignment horizontal="center" vertical="center"/>
    </xf>
    <xf numFmtId="168" fontId="8" fillId="3" borderId="4" xfId="0" applyNumberFormat="1" applyFont="1" applyFill="1" applyBorder="1" applyAlignment="1">
      <alignment horizontal="left" vertical="center" wrapText="1"/>
    </xf>
    <xf numFmtId="168" fontId="8" fillId="0" borderId="4" xfId="0" applyNumberFormat="1" applyFont="1" applyBorder="1" applyAlignment="1">
      <alignment horizontal="left" vertical="center" wrapText="1"/>
    </xf>
    <xf numFmtId="167" fontId="8" fillId="3" borderId="4" xfId="0" applyNumberFormat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9" fontId="9" fillId="0" borderId="4" xfId="1" applyFont="1" applyFill="1" applyBorder="1" applyAlignment="1">
      <alignment horizontal="center" vertical="center"/>
    </xf>
    <xf numFmtId="1" fontId="9" fillId="0" borderId="4" xfId="1" applyNumberFormat="1" applyFont="1" applyFill="1" applyBorder="1" applyAlignment="1">
      <alignment horizontal="center" vertical="center"/>
    </xf>
    <xf numFmtId="168" fontId="5" fillId="0" borderId="4" xfId="0" applyNumberFormat="1" applyFont="1" applyBorder="1" applyAlignment="1">
      <alignment vertical="center" wrapText="1"/>
    </xf>
    <xf numFmtId="168" fontId="11" fillId="0" borderId="4" xfId="0" applyNumberFormat="1" applyFont="1" applyBorder="1" applyAlignment="1">
      <alignment horizontal="center" vertical="center"/>
    </xf>
    <xf numFmtId="168" fontId="8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0" fontId="11" fillId="0" borderId="4" xfId="0" applyFont="1" applyBorder="1"/>
    <xf numFmtId="17" fontId="8" fillId="0" borderId="4" xfId="0" applyNumberFormat="1" applyFont="1" applyBorder="1" applyAlignment="1">
      <alignment horizontal="center" vertical="center"/>
    </xf>
    <xf numFmtId="169" fontId="9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168" fontId="8" fillId="0" borderId="4" xfId="0" applyNumberFormat="1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8" fontId="12" fillId="4" borderId="4" xfId="0" applyNumberFormat="1" applyFont="1" applyFill="1" applyBorder="1" applyAlignment="1">
      <alignment horizontal="center" vertical="center"/>
    </xf>
    <xf numFmtId="168" fontId="10" fillId="0" borderId="4" xfId="0" applyNumberFormat="1" applyFont="1" applyBorder="1" applyAlignment="1">
      <alignment horizontal="left" vertical="center"/>
    </xf>
    <xf numFmtId="165" fontId="8" fillId="0" borderId="4" xfId="2" applyNumberFormat="1" applyFont="1" applyBorder="1" applyAlignment="1">
      <alignment horizontal="center" vertical="center"/>
    </xf>
    <xf numFmtId="168" fontId="8" fillId="5" borderId="4" xfId="0" applyNumberFormat="1" applyFont="1" applyFill="1" applyBorder="1" applyAlignment="1">
      <alignment horizontal="center" vertical="center"/>
    </xf>
    <xf numFmtId="168" fontId="10" fillId="0" borderId="4" xfId="0" applyNumberFormat="1" applyFont="1" applyBorder="1" applyAlignment="1">
      <alignment vertical="center"/>
    </xf>
    <xf numFmtId="167" fontId="8" fillId="0" borderId="4" xfId="0" applyNumberFormat="1" applyFont="1" applyBorder="1" applyAlignment="1">
      <alignment horizontal="left" vertical="center"/>
    </xf>
    <xf numFmtId="1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wrapText="1"/>
    </xf>
    <xf numFmtId="9" fontId="8" fillId="0" borderId="4" xfId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1" fontId="9" fillId="0" borderId="4" xfId="1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left" vertical="center" wrapText="1"/>
    </xf>
    <xf numFmtId="168" fontId="8" fillId="4" borderId="4" xfId="0" applyNumberFormat="1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8" fontId="5" fillId="0" borderId="0" xfId="0" applyNumberFormat="1" applyFont="1"/>
    <xf numFmtId="10" fontId="9" fillId="0" borderId="4" xfId="1" applyNumberFormat="1" applyFont="1" applyFill="1" applyBorder="1" applyAlignment="1">
      <alignment horizontal="center" vertical="center"/>
    </xf>
    <xf numFmtId="10" fontId="9" fillId="0" borderId="4" xfId="1" applyNumberFormat="1" applyFont="1" applyBorder="1" applyAlignment="1">
      <alignment horizontal="center" vertical="center"/>
    </xf>
    <xf numFmtId="49" fontId="7" fillId="8" borderId="4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wrapText="1"/>
    </xf>
    <xf numFmtId="167" fontId="5" fillId="0" borderId="0" xfId="0" applyNumberFormat="1" applyFont="1"/>
    <xf numFmtId="0" fontId="5" fillId="0" borderId="4" xfId="0" applyFont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 textRotation="90" wrapText="1"/>
    </xf>
    <xf numFmtId="14" fontId="5" fillId="0" borderId="5" xfId="5" applyNumberFormat="1" applyFont="1" applyBorder="1" applyAlignment="1">
      <alignment horizontal="center" vertical="center"/>
    </xf>
    <xf numFmtId="0" fontId="5" fillId="0" borderId="5" xfId="0" applyFont="1" applyBorder="1"/>
    <xf numFmtId="1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49" fontId="7" fillId="4" borderId="6" xfId="0" applyNumberFormat="1" applyFont="1" applyFill="1" applyBorder="1" applyAlignment="1">
      <alignment horizontal="center" vertical="center" textRotation="90" wrapText="1"/>
    </xf>
    <xf numFmtId="49" fontId="7" fillId="4" borderId="6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7" xfId="0" applyFont="1" applyBorder="1"/>
    <xf numFmtId="49" fontId="7" fillId="2" borderId="6" xfId="0" applyNumberFormat="1" applyFont="1" applyFill="1" applyBorder="1" applyAlignment="1">
      <alignment horizontal="center" vertical="center" textRotation="90"/>
    </xf>
    <xf numFmtId="49" fontId="7" fillId="4" borderId="6" xfId="0" applyNumberFormat="1" applyFont="1" applyFill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14" fontId="15" fillId="0" borderId="8" xfId="0" quotePrefix="1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168" fontId="10" fillId="0" borderId="4" xfId="0" applyNumberFormat="1" applyFont="1" applyBorder="1" applyAlignment="1">
      <alignment horizontal="left" vertical="center" wrapText="1"/>
    </xf>
    <xf numFmtId="14" fontId="5" fillId="0" borderId="5" xfId="0" quotePrefix="1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49" fontId="8" fillId="4" borderId="6" xfId="0" applyNumberFormat="1" applyFont="1" applyFill="1" applyBorder="1" applyAlignment="1">
      <alignment vertical="center" wrapText="1"/>
    </xf>
    <xf numFmtId="167" fontId="8" fillId="0" borderId="6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49" fontId="15" fillId="0" borderId="8" xfId="0" quotePrefix="1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168" fontId="16" fillId="0" borderId="4" xfId="0" applyNumberFormat="1" applyFont="1" applyBorder="1" applyAlignment="1">
      <alignment horizontal="left" vertical="center" wrapText="1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center" wrapText="1"/>
    </xf>
    <xf numFmtId="0" fontId="17" fillId="0" borderId="0" xfId="6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17" fillId="0" borderId="0" xfId="6" applyNumberFormat="1" applyAlignment="1">
      <alignment horizontal="center" vertical="center"/>
    </xf>
    <xf numFmtId="0" fontId="5" fillId="0" borderId="5" xfId="0" applyFont="1" applyBorder="1" applyAlignment="1">
      <alignment wrapText="1"/>
    </xf>
    <xf numFmtId="0" fontId="17" fillId="0" borderId="0" xfId="7" applyAlignment="1">
      <alignment horizontal="center" vertical="center"/>
    </xf>
    <xf numFmtId="167" fontId="8" fillId="10" borderId="4" xfId="0" applyNumberFormat="1" applyFont="1" applyFill="1" applyBorder="1" applyAlignment="1">
      <alignment horizontal="center" vertical="center"/>
    </xf>
    <xf numFmtId="14" fontId="8" fillId="10" borderId="4" xfId="0" applyNumberFormat="1" applyFont="1" applyFill="1" applyBorder="1" applyAlignment="1">
      <alignment horizontal="center" vertical="center"/>
    </xf>
    <xf numFmtId="168" fontId="8" fillId="10" borderId="4" xfId="0" applyNumberFormat="1" applyFont="1" applyFill="1" applyBorder="1" applyAlignment="1">
      <alignment horizontal="center" vertical="center"/>
    </xf>
    <xf numFmtId="1" fontId="8" fillId="10" borderId="4" xfId="0" applyNumberFormat="1" applyFont="1" applyFill="1" applyBorder="1" applyAlignment="1">
      <alignment horizontal="center" vertical="center"/>
    </xf>
    <xf numFmtId="1" fontId="13" fillId="10" borderId="4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7" fillId="0" borderId="0" xfId="6" applyFill="1" applyAlignment="1">
      <alignment horizontal="center" vertical="center"/>
    </xf>
    <xf numFmtId="0" fontId="17" fillId="0" borderId="0" xfId="7" applyFill="1" applyAlignment="1">
      <alignment horizontal="center" vertical="center"/>
    </xf>
    <xf numFmtId="49" fontId="8" fillId="0" borderId="4" xfId="0" applyNumberFormat="1" applyFont="1" applyBorder="1" applyAlignment="1">
      <alignment vertical="center"/>
    </xf>
    <xf numFmtId="167" fontId="8" fillId="0" borderId="4" xfId="0" applyNumberFormat="1" applyFont="1" applyBorder="1" applyAlignment="1">
      <alignment horizontal="center" vertical="center" wrapText="1"/>
    </xf>
    <xf numFmtId="0" fontId="17" fillId="0" borderId="0" xfId="6" applyAlignment="1">
      <alignment horizontal="center" vertical="center" wrapText="1"/>
    </xf>
    <xf numFmtId="0" fontId="17" fillId="0" borderId="0" xfId="7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/>
    </xf>
    <xf numFmtId="49" fontId="8" fillId="0" borderId="6" xfId="0" applyNumberFormat="1" applyFont="1" applyBorder="1" applyAlignment="1">
      <alignment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6" fillId="0" borderId="4" xfId="0" applyFont="1" applyBorder="1"/>
    <xf numFmtId="0" fontId="13" fillId="0" borderId="4" xfId="0" quotePrefix="1" applyFont="1" applyBorder="1" applyAlignment="1">
      <alignment horizontal="center" vertical="center"/>
    </xf>
    <xf numFmtId="14" fontId="13" fillId="10" borderId="4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 wrapText="1"/>
    </xf>
    <xf numFmtId="49" fontId="8" fillId="4" borderId="4" xfId="0" applyNumberFormat="1" applyFont="1" applyFill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/>
    </xf>
    <xf numFmtId="0" fontId="17" fillId="0" borderId="0" xfId="7" applyAlignment="1">
      <alignment vertical="center" wrapText="1"/>
    </xf>
    <xf numFmtId="49" fontId="8" fillId="12" borderId="4" xfId="0" applyNumberFormat="1" applyFont="1" applyFill="1" applyBorder="1" applyAlignment="1">
      <alignment horizontal="center" vertical="center"/>
    </xf>
    <xf numFmtId="49" fontId="8" fillId="4" borderId="6" xfId="0" applyNumberFormat="1" applyFont="1" applyFill="1" applyBorder="1" applyAlignment="1">
      <alignment horizontal="center" vertical="center"/>
    </xf>
    <xf numFmtId="49" fontId="8" fillId="12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8" fillId="0" borderId="6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49" fontId="7" fillId="13" borderId="4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44" fontId="19" fillId="0" borderId="4" xfId="2" applyNumberFormat="1" applyFont="1" applyBorder="1" applyAlignment="1">
      <alignment vertical="center"/>
    </xf>
    <xf numFmtId="8" fontId="20" fillId="11" borderId="4" xfId="0" applyNumberFormat="1" applyFont="1" applyFill="1" applyBorder="1" applyAlignment="1">
      <alignment horizontal="center"/>
    </xf>
    <xf numFmtId="171" fontId="5" fillId="0" borderId="0" xfId="0" applyNumberFormat="1" applyFont="1" applyAlignment="1">
      <alignment horizontal="center" vertical="center"/>
    </xf>
    <xf numFmtId="168" fontId="21" fillId="0" borderId="4" xfId="0" applyNumberFormat="1" applyFont="1" applyBorder="1" applyAlignment="1">
      <alignment vertical="center" wrapText="1"/>
    </xf>
    <xf numFmtId="0" fontId="23" fillId="0" borderId="0" xfId="0" applyFont="1"/>
    <xf numFmtId="171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16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3" fillId="0" borderId="0" xfId="0" applyFont="1" applyAlignment="1">
      <alignment horizontal="center"/>
    </xf>
    <xf numFmtId="49" fontId="24" fillId="4" borderId="6" xfId="0" applyNumberFormat="1" applyFont="1" applyFill="1" applyBorder="1" applyAlignment="1">
      <alignment horizontal="center" vertical="center" wrapText="1"/>
    </xf>
    <xf numFmtId="49" fontId="24" fillId="14" borderId="6" xfId="0" applyNumberFormat="1" applyFont="1" applyFill="1" applyBorder="1" applyAlignment="1">
      <alignment horizontal="center" vertical="center" wrapText="1"/>
    </xf>
    <xf numFmtId="171" fontId="23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/>
    </xf>
    <xf numFmtId="0" fontId="23" fillId="0" borderId="9" xfId="0" applyFont="1" applyBorder="1"/>
    <xf numFmtId="0" fontId="23" fillId="0" borderId="9" xfId="0" applyFont="1" applyBorder="1" applyAlignment="1">
      <alignment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11" xfId="0" applyFont="1" applyBorder="1" applyAlignment="1">
      <alignment vertical="center" wrapText="1"/>
    </xf>
    <xf numFmtId="0" fontId="23" fillId="0" borderId="11" xfId="0" applyFont="1" applyBorder="1" applyAlignment="1">
      <alignment horizontal="center" vertical="center"/>
    </xf>
    <xf numFmtId="171" fontId="23" fillId="0" borderId="9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4" xfId="0" applyFont="1" applyBorder="1"/>
    <xf numFmtId="0" fontId="23" fillId="0" borderId="4" xfId="0" applyFont="1" applyBorder="1" applyAlignment="1">
      <alignment vertical="center" wrapText="1"/>
    </xf>
    <xf numFmtId="8" fontId="25" fillId="11" borderId="5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171" fontId="23" fillId="0" borderId="4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vertical="center"/>
    </xf>
    <xf numFmtId="44" fontId="23" fillId="0" borderId="5" xfId="2" applyNumberFormat="1" applyFont="1" applyBorder="1" applyAlignment="1">
      <alignment horizontal="center" vertical="center"/>
    </xf>
    <xf numFmtId="0" fontId="23" fillId="0" borderId="5" xfId="0" applyFont="1" applyBorder="1" applyAlignment="1">
      <alignment vertical="top" wrapText="1"/>
    </xf>
    <xf numFmtId="0" fontId="23" fillId="0" borderId="5" xfId="0" applyFont="1" applyBorder="1"/>
    <xf numFmtId="44" fontId="23" fillId="0" borderId="9" xfId="2" applyNumberFormat="1" applyFont="1" applyBorder="1" applyAlignment="1">
      <alignment horizontal="center" vertical="center"/>
    </xf>
    <xf numFmtId="0" fontId="23" fillId="0" borderId="9" xfId="0" applyFont="1" applyBorder="1" applyAlignment="1">
      <alignment vertical="top" wrapText="1"/>
    </xf>
    <xf numFmtId="44" fontId="23" fillId="0" borderId="9" xfId="0" applyNumberFormat="1" applyFont="1" applyBorder="1" applyAlignment="1">
      <alignment vertical="center" wrapText="1"/>
    </xf>
    <xf numFmtId="0" fontId="23" fillId="0" borderId="0" xfId="0" applyFont="1" applyAlignment="1">
      <alignment horizontal="center" vertical="center"/>
    </xf>
    <xf numFmtId="171" fontId="23" fillId="8" borderId="5" xfId="0" applyNumberFormat="1" applyFont="1" applyFill="1" applyBorder="1" applyAlignment="1">
      <alignment horizontal="center" vertical="center"/>
    </xf>
    <xf numFmtId="171" fontId="23" fillId="15" borderId="5" xfId="0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13" borderId="5" xfId="0" applyFont="1" applyFill="1" applyBorder="1" applyAlignment="1">
      <alignment horizontal="center" vertical="center"/>
    </xf>
    <xf numFmtId="44" fontId="19" fillId="13" borderId="9" xfId="2" applyNumberFormat="1" applyFont="1" applyFill="1" applyBorder="1" applyAlignment="1">
      <alignment vertical="center"/>
    </xf>
    <xf numFmtId="2" fontId="23" fillId="0" borderId="5" xfId="0" applyNumberFormat="1" applyFont="1" applyBorder="1" applyAlignment="1">
      <alignment horizontal="center" vertical="center" wrapText="1"/>
    </xf>
    <xf numFmtId="171" fontId="23" fillId="17" borderId="5" xfId="0" applyNumberFormat="1" applyFont="1" applyFill="1" applyBorder="1" applyAlignment="1">
      <alignment horizontal="center" vertical="center"/>
    </xf>
    <xf numFmtId="171" fontId="23" fillId="16" borderId="5" xfId="0" applyNumberFormat="1" applyFont="1" applyFill="1" applyBorder="1" applyAlignment="1">
      <alignment horizontal="center" vertical="center"/>
    </xf>
    <xf numFmtId="8" fontId="25" fillId="11" borderId="11" xfId="0" applyNumberFormat="1" applyFont="1" applyFill="1" applyBorder="1" applyAlignment="1">
      <alignment horizontal="center" vertical="center"/>
    </xf>
    <xf numFmtId="8" fontId="25" fillId="16" borderId="11" xfId="0" applyNumberFormat="1" applyFont="1" applyFill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16" borderId="4" xfId="0" applyFont="1" applyFill="1" applyBorder="1"/>
    <xf numFmtId="0" fontId="23" fillId="0" borderId="4" xfId="0" applyFont="1" applyBorder="1" applyAlignment="1">
      <alignment horizontal="left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 wrapText="1"/>
    </xf>
    <xf numFmtId="14" fontId="6" fillId="3" borderId="0" xfId="0" applyNumberFormat="1" applyFont="1" applyFill="1"/>
    <xf numFmtId="181" fontId="23" fillId="0" borderId="5" xfId="0" applyNumberFormat="1" applyFont="1" applyBorder="1" applyAlignment="1">
      <alignment horizontal="center" vertical="center"/>
    </xf>
    <xf numFmtId="174" fontId="23" fillId="0" borderId="5" xfId="0" applyNumberFormat="1" applyFont="1" applyBorder="1" applyAlignment="1">
      <alignment horizontal="center" vertical="center"/>
    </xf>
    <xf numFmtId="182" fontId="23" fillId="0" borderId="5" xfId="0" applyNumberFormat="1" applyFont="1" applyBorder="1" applyAlignment="1">
      <alignment horizontal="center" vertical="center"/>
    </xf>
    <xf numFmtId="183" fontId="23" fillId="0" borderId="9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/>
    </xf>
    <xf numFmtId="167" fontId="8" fillId="0" borderId="15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quotePrefix="1" applyNumberFormat="1" applyFont="1" applyAlignment="1">
      <alignment horizontal="center" vertical="center"/>
    </xf>
    <xf numFmtId="168" fontId="22" fillId="0" borderId="4" xfId="0" applyNumberFormat="1" applyFont="1" applyBorder="1" applyAlignment="1">
      <alignment horizontal="center" vertical="center"/>
    </xf>
    <xf numFmtId="1" fontId="22" fillId="0" borderId="4" xfId="0" applyNumberFormat="1" applyFont="1" applyBorder="1" applyAlignment="1">
      <alignment horizontal="center" vertical="center"/>
    </xf>
    <xf numFmtId="0" fontId="26" fillId="0" borderId="5" xfId="0" applyFont="1" applyBorder="1" applyAlignment="1">
      <alignment horizontal="left" vertical="center" wrapText="1"/>
    </xf>
    <xf numFmtId="167" fontId="9" fillId="0" borderId="4" xfId="0" applyNumberFormat="1" applyFont="1" applyBorder="1" applyAlignment="1">
      <alignment horizontal="center" vertical="center"/>
    </xf>
    <xf numFmtId="9" fontId="27" fillId="0" borderId="4" xfId="1" applyFont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49" fontId="7" fillId="2" borderId="4" xfId="0" applyNumberFormat="1" applyFont="1" applyFill="1" applyBorder="1" applyAlignment="1">
      <alignment horizontal="right" vertical="center" wrapText="1"/>
    </xf>
    <xf numFmtId="44" fontId="8" fillId="0" borderId="4" xfId="1" applyNumberFormat="1" applyFont="1" applyFill="1" applyBorder="1" applyAlignment="1">
      <alignment horizontal="right" vertical="center"/>
    </xf>
    <xf numFmtId="167" fontId="8" fillId="0" borderId="4" xfId="0" applyNumberFormat="1" applyFont="1" applyBorder="1" applyAlignment="1">
      <alignment horizontal="right" vertical="center"/>
    </xf>
    <xf numFmtId="168" fontId="28" fillId="0" borderId="4" xfId="0" applyNumberFormat="1" applyFont="1" applyBorder="1" applyAlignment="1">
      <alignment horizontal="left" vertical="center" wrapText="1"/>
    </xf>
    <xf numFmtId="49" fontId="28" fillId="0" borderId="4" xfId="0" applyNumberFormat="1" applyFont="1" applyBorder="1" applyAlignment="1">
      <alignment horizontal="center" vertical="center"/>
    </xf>
    <xf numFmtId="49" fontId="28" fillId="12" borderId="4" xfId="0" applyNumberFormat="1" applyFont="1" applyFill="1" applyBorder="1" applyAlignment="1">
      <alignment horizontal="center" vertical="center"/>
    </xf>
    <xf numFmtId="49" fontId="28" fillId="0" borderId="4" xfId="0" applyNumberFormat="1" applyFont="1" applyBorder="1" applyAlignment="1">
      <alignment horizontal="left" vertical="center"/>
    </xf>
    <xf numFmtId="49" fontId="28" fillId="0" borderId="4" xfId="0" applyNumberFormat="1" applyFont="1" applyBorder="1" applyAlignment="1">
      <alignment horizontal="center" vertical="center" wrapText="1"/>
    </xf>
    <xf numFmtId="49" fontId="28" fillId="0" borderId="4" xfId="0" applyNumberFormat="1" applyFont="1" applyBorder="1" applyAlignment="1">
      <alignment horizontal="left" vertical="center" wrapText="1"/>
    </xf>
    <xf numFmtId="167" fontId="28" fillId="0" borderId="4" xfId="0" applyNumberFormat="1" applyFont="1" applyBorder="1" applyAlignment="1">
      <alignment horizontal="center" vertical="center"/>
    </xf>
    <xf numFmtId="14" fontId="28" fillId="0" borderId="4" xfId="0" applyNumberFormat="1" applyFont="1" applyBorder="1" applyAlignment="1">
      <alignment horizontal="center" vertical="center"/>
    </xf>
    <xf numFmtId="168" fontId="29" fillId="0" borderId="4" xfId="0" applyNumberFormat="1" applyFont="1" applyBorder="1" applyAlignment="1">
      <alignment horizontal="center" vertical="center"/>
    </xf>
    <xf numFmtId="168" fontId="28" fillId="0" borderId="4" xfId="0" applyNumberFormat="1" applyFont="1" applyBorder="1" applyAlignment="1">
      <alignment horizontal="center" vertical="center"/>
    </xf>
    <xf numFmtId="1" fontId="28" fillId="0" borderId="4" xfId="0" applyNumberFormat="1" applyFont="1" applyBorder="1" applyAlignment="1">
      <alignment horizontal="center" vertical="center"/>
    </xf>
    <xf numFmtId="1" fontId="29" fillId="0" borderId="4" xfId="0" applyNumberFormat="1" applyFont="1" applyBorder="1" applyAlignment="1">
      <alignment horizontal="center" vertical="center"/>
    </xf>
    <xf numFmtId="1" fontId="30" fillId="0" borderId="4" xfId="0" applyNumberFormat="1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168" fontId="31" fillId="0" borderId="4" xfId="0" applyNumberFormat="1" applyFont="1" applyBorder="1" applyAlignment="1">
      <alignment horizontal="center" vertical="center"/>
    </xf>
    <xf numFmtId="168" fontId="30" fillId="0" borderId="4" xfId="0" applyNumberFormat="1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6" fontId="28" fillId="0" borderId="4" xfId="0" applyNumberFormat="1" applyFont="1" applyBorder="1" applyAlignment="1">
      <alignment horizontal="center" vertical="center"/>
    </xf>
    <xf numFmtId="9" fontId="28" fillId="0" borderId="4" xfId="1" applyFont="1" applyBorder="1" applyAlignment="1">
      <alignment horizontal="center" vertical="center"/>
    </xf>
    <xf numFmtId="1" fontId="27" fillId="0" borderId="4" xfId="1" applyNumberFormat="1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/>
    </xf>
    <xf numFmtId="8" fontId="32" fillId="11" borderId="11" xfId="0" applyNumberFormat="1" applyFont="1" applyFill="1" applyBorder="1" applyAlignment="1">
      <alignment horizontal="center" vertical="center" wrapText="1"/>
    </xf>
    <xf numFmtId="8" fontId="23" fillId="0" borderId="4" xfId="0" applyNumberFormat="1" applyFont="1" applyBorder="1" applyAlignment="1">
      <alignment horizontal="center" vertical="center"/>
    </xf>
    <xf numFmtId="167" fontId="28" fillId="0" borderId="4" xfId="0" applyNumberFormat="1" applyFont="1" applyBorder="1" applyAlignment="1">
      <alignment horizontal="right" vertical="center"/>
    </xf>
    <xf numFmtId="0" fontId="33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23" fillId="0" borderId="6" xfId="0" applyFont="1" applyBorder="1" applyAlignment="1">
      <alignment horizontal="left" vertical="center" wrapText="1"/>
    </xf>
  </cellXfs>
  <cellStyles count="8">
    <cellStyle name="Collegamento ipertestuale" xfId="7" builtinId="8"/>
    <cellStyle name="Hyperlink" xfId="6" xr:uid="{00000000-000B-0000-0000-000008000000}"/>
    <cellStyle name="Migliaia" xfId="5" builtinId="3"/>
    <cellStyle name="Normale" xfId="0" builtinId="0"/>
    <cellStyle name="Normale 2" xfId="4" xr:uid="{190277C4-22C8-449F-9FB1-7D797813BDD9}"/>
    <cellStyle name="Percentuale" xfId="1" builtinId="5"/>
    <cellStyle name="Valuta" xfId="2" builtinId="4"/>
    <cellStyle name="Valuta 2" xfId="3" xr:uid="{4FC83048-1D3A-4973-9333-8367B25D0FCE}"/>
  </cellStyles>
  <dxfs count="55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  <color rgb="FFCC33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18180</xdr:colOff>
      <xdr:row>138</xdr:row>
      <xdr:rowOff>161926</xdr:rowOff>
    </xdr:from>
    <xdr:to>
      <xdr:col>14</xdr:col>
      <xdr:colOff>955040</xdr:colOff>
      <xdr:row>155</xdr:row>
      <xdr:rowOff>64846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D1DE7FF-4DC4-F3B5-186E-0DD54CC09F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273" b="52320"/>
        <a:stretch/>
      </xdr:blipFill>
      <xdr:spPr>
        <a:xfrm>
          <a:off x="2361330" y="41652826"/>
          <a:ext cx="15579960" cy="33033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NTONE TOMMASO" id="{11739158-FBDA-4D4C-885C-985D0A49E2EE}" userId="S::6003384@italferr.it::7b6c23c3-d867-4ea3-88d2-0d376698ebbe" providerId="AD"/>
  <person displayName="BARBATO REGINA" id="{878D6204-EF0A-4D2F-B9AE-B2D24E96A2C2}" userId="S::6003837@italferr.it::5be067ed-38dc-43d8-b836-a61fd32ca03a" providerId="AD"/>
  <person displayName="ANGRISANO IVAN" id="{54DED565-96FD-4CFA-95F2-15767ADC4184}" userId="S::6004020@italferr.it::1c632d83-2cbe-4415-b1a8-af989174dc07" providerId="AD"/>
  <person displayName="MOLINARI GIOVANNI" id="{3198ACDE-7CFA-4D21-B257-AB404B1D80A8}" userId="S::6004524@italferr.it::cada2c17-82d8-42ae-8810-e9fd42015b12" providerId="AD"/>
</personList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" dT="2023-10-18T10:19:10.16" personId="{878D6204-EF0A-4D2F-B9AE-B2D24E96A2C2}" id="{E423D720-B229-47BB-A499-F0BE55FEC3FB}">
    <text>in base alla consegna delle prestazioni</text>
  </threadedComment>
  <threadedComment ref="T4" dT="2023-10-18T10:05:53.94" personId="{878D6204-EF0A-4D2F-B9AE-B2D24E96A2C2}" id="{26851EFE-FB7A-4051-AB4C-0D69C14C7540}">
    <text>in base alla consegna delle prestazioni</text>
  </threadedComment>
  <threadedComment ref="V4" dT="2023-10-18T10:05:53.94" personId="{878D6204-EF0A-4D2F-B9AE-B2D24E96A2C2}" id="{ED03B193-FE56-4A20-96BB-009BA3E30C8A}">
    <text>esempio ritardo della progettazione etc.</text>
  </threadedComment>
  <threadedComment ref="W4" dT="2023-10-18T10:05:53.94" personId="{878D6204-EF0A-4D2F-B9AE-B2D24E96A2C2}" id="{1E0E5E02-4F34-4411-AA1A-409870918622}">
    <text>esempio ritardo della progettazione etc.</text>
  </threadedComment>
  <threadedComment ref="AQ4" dT="2023-10-18T10:21:58.47" personId="{878D6204-EF0A-4D2F-B9AE-B2D24E96A2C2}" id="{E78DF6F7-6763-48DD-997F-A8D3EFB6081B}">
    <text>durata totale (parte a e parte b)</text>
  </threadedComment>
  <threadedComment ref="AR4" dT="2023-10-18T10:16:01.09" personId="{878D6204-EF0A-4D2F-B9AE-B2D24E96A2C2}" id="{01A17F61-6774-4570-A100-59955B23688D}">
    <text>corrispondente al PLO contrattuale</text>
  </threadedComment>
  <threadedComment ref="AS4" dT="2023-10-18T10:16:29.29" personId="{878D6204-EF0A-4D2F-B9AE-B2D24E96A2C2}" id="{4BAA4EE7-8AB8-452D-AB85-244E9EB970EB}">
    <text>a seguito di proroghe, acceleramenti, varianti ufficiali</text>
  </threadedComment>
  <threadedComment ref="AP12" dT="2024-10-08T14:23:01.62" personId="{3198ACDE-7CFA-4D21-B257-AB404B1D80A8}" id="{34ECF0EB-780B-4751-9C99-C71726F4036C}">
    <text>Ridefinita a seguito di 1° AdS (inizialmente, da Convenzione, era 900gnc)</text>
  </threadedComment>
  <threadedComment ref="AQ12" dT="2024-10-08T14:23:01.62" personId="{3198ACDE-7CFA-4D21-B257-AB404B1D80A8}" id="{C4975893-6475-49A5-B758-3BCEB6432BA4}">
    <text>Ridefinita a seguito di 1° AdS (inizialmente, da Convenzione, era 900gnc)</text>
  </threadedComment>
  <threadedComment ref="AP15" dT="2024-07-25T09:43:15.48" personId="{3198ACDE-7CFA-4D21-B257-AB404B1D80A8}" id="{F3A3FE7B-D21F-4AEA-9EAF-2021D268569C}">
    <text>113gnc parte A + 949gnc parte B (da Convenzione)</text>
  </threadedComment>
  <threadedComment ref="AQ15" dT="2024-07-04T08:04:23.86" personId="{3198ACDE-7CFA-4D21-B257-AB404B1D80A8}" id="{3B9D8AD5-E637-4C18-B2EC-997887C8D38B}">
    <text>I giorni di parte A + parte B sono 1084 (si riportano solo i 113gnc previsti da contratto per poter calcolare l'avanzamento temporale_cella AM17)</text>
  </threadedComment>
  <threadedComment ref="BF15" dT="2024-07-04T08:02:16.50" personId="{3198ACDE-7CFA-4D21-B257-AB404B1D80A8}" id="{A05E14F7-3D49-4412-ADFA-6ADDFB9802BA}">
    <text>La seguente formula è stata modificata perché tiene conto soltanto della parte A (TUP 1 - 113gnc e decorrenza TU dal 29/09/23)</text>
  </threadedComment>
  <threadedComment ref="AP16" dT="2024-07-25T09:44:44.37" personId="{3198ACDE-7CFA-4D21-B257-AB404B1D80A8}" id="{1246AB09-7782-4104-B0BE-1A9E58137D46}">
    <text>160gnc parte A + 1134gnc parte B (da Convenzione)</text>
  </threadedComment>
  <threadedComment ref="AQ16" dT="2024-07-04T08:13:59.72" personId="{3198ACDE-7CFA-4D21-B257-AB404B1D80A8}" id="{C8ADB4BB-9445-476D-A04F-FE3145C9ECB8}">
    <text>I giorni di parte A + parte B sono 1134 (si riportano solo i 160gnc previsti da contratto per poter calcolare l'avanzamento temporale_cella AM18)</text>
  </threadedComment>
  <threadedComment ref="BF16" dT="2024-07-04T08:14:58.97" personId="{3198ACDE-7CFA-4D21-B257-AB404B1D80A8}" id="{04F4B77D-F22D-4A44-B100-1461183B39F6}">
    <text>La seguente formula è stata modificata perché tiene conto soltanto della parte A (TUP 1 - 160gnc e decorrenza TU dal 24/10/23)</text>
  </threadedComment>
  <threadedComment ref="AP17" dT="2024-07-25T09:48:40.14" personId="{3198ACDE-7CFA-4D21-B257-AB404B1D80A8}" id="{6BA25E6E-2759-421E-A00E-1DDB3658C06D}">
    <text>127gnc parte A + 2276gnc parte B (da Convenzione)</text>
  </threadedComment>
  <threadedComment ref="AQ17" dT="2024-07-04T08:16:17.99" personId="{3198ACDE-7CFA-4D21-B257-AB404B1D80A8}" id="{242CFA77-7070-4592-BC99-F20043539F87}">
    <text>I giorni di parte A + parte B sono 2276 (si riportano solo i 127gnc previsti da contratto per poter calcolare l'avanzamento temporale_cella AM19)</text>
  </threadedComment>
  <threadedComment ref="BF17" dT="2024-07-04T08:16:55.25" personId="{3198ACDE-7CFA-4D21-B257-AB404B1D80A8}" id="{FD58F42D-0E2D-4A71-AAC9-21EC712D41C6}">
    <text>La seguente formula è stata modificata perché tiene conto soltanto della parte A (TUP 1 - 127gnc e decorrenza TU dal 10/11/23)</text>
  </threadedComment>
  <threadedComment ref="CB19" dT="2025-09-24T13:43:48.24" personId="{11739158-FBDA-4D4C-885C-985D0A49E2EE}" id="{51A5DA49-8F30-482D-9B27-A50CCE0FB39A}">
    <text>non si considerano i consuntivi al 30/04/25</text>
  </threadedComment>
  <threadedComment ref="CC19" dT="2025-09-24T13:46:24.54" personId="{11739158-FBDA-4D4C-885C-985D0A49E2EE}" id="{28CD0406-FC14-44BB-9C84-C067F031D805}">
    <text>non si considerano i consuntivi al 30/04/25</text>
  </threadedComment>
  <threadedComment ref="CE19" dT="2025-09-24T13:46:33.23" personId="{11739158-FBDA-4D4C-885C-985D0A49E2EE}" id="{DEA28487-5291-430B-854D-7D30F246FEA6}">
    <text>non si considerano i consuntivi al 30/04/25</text>
  </threadedComment>
  <threadedComment ref="CN19" dT="2025-09-24T13:47:35.45" personId="{11739158-FBDA-4D4C-885C-985D0A49E2EE}" id="{2C7285F6-56AB-4622-AC12-99F865C30A9D}">
    <text>non si considerano i consuntivi al 30/04/25</text>
  </threadedComment>
  <threadedComment ref="CO19" dT="2025-09-24T13:48:02.01" personId="{11739158-FBDA-4D4C-885C-985D0A49E2EE}" id="{6CBC1B2F-F4EF-4AC4-BF8F-0F89D920DCFF}">
    <text>non si considerano i consuntivi al 30/04/25</text>
  </threadedComment>
  <threadedComment ref="CQ19" dT="2025-09-24T13:47:47.06" personId="{11739158-FBDA-4D4C-885C-985D0A49E2EE}" id="{39C0F157-0007-4146-B53D-912ACD57A90E}">
    <text>non si considerano i consuntivi al 30/04/25</text>
  </threadedComment>
  <threadedComment ref="AQ37" dT="2025-10-20T14:53:29.38" personId="{54DED565-96FD-4CFA-95F2-15767ADC4184}" id="{E6F75011-7BEF-4718-AC7C-924FC020E80D}">
    <text>da CL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6004576/Gruppo%20Ferrovie%20Dello%20Stato/POV%20-%20Italferr%20-%20Commesse/TRENTINO%20ALTO%20ADIGE/IB05.1R02%20FORTEZZA%20-%20PONTE%20GARDENA/LOTTO%201/00%20DB/da%20caricare%20collegamento%20ipertestuale/CURVA%20S%20AGGIORNATA.pdf" TargetMode="External"/><Relationship Id="rId21" Type="http://schemas.openxmlformats.org/officeDocument/2006/relationships/hyperlink" Target="../../../../../../:b:/r/sites/POV-Italferr/Shared%20Documents/Commesse/TRENTINO%20ALTO%20ADIGE/IB15.1R02.A01_PRG%20BRESSANONE/00%20DATI%20DI%20BASE/TPS%20PRG%20BRESSANONE.pdf?csf=1&amp;web=1&amp;e=5SzNB7" TargetMode="External"/><Relationship Id="rId42" Type="http://schemas.openxmlformats.org/officeDocument/2006/relationships/hyperlink" Target="../../../../../../:x:/r/sites/POV-Italferr/Shared%20Documents/Commesse/ME-CT-PA/RS20.1R06%20L4B%20ENNA-DITTAINO/01%20PLO/4B_Prospetto%20SIL.xlsx?d=wb0f795bbeadf44e4a9a438c8bd53791d&amp;csf=1&amp;web=1&amp;e=5rUNG2" TargetMode="External"/><Relationship Id="rId47" Type="http://schemas.openxmlformats.org/officeDocument/2006/relationships/hyperlink" Target="../../../../../../:b:/r/sites/POV-Italferr/Shared%20Documents/Commesse/ME-CT-PA/RS20.1R05%20L5%20DITTAINO-CATENANUOVA/01%20PLO/03%20GANTT%20DI%20SINTESI/GANTT%20CONFRONTO.pdf?csf=1&amp;web=1&amp;e=NCDLuZ" TargetMode="External"/><Relationship Id="rId63" Type="http://schemas.openxmlformats.org/officeDocument/2006/relationships/hyperlink" Target="../../../../../../:b:/r/sites/POV-Italferr/Shared%20Documents/Commesse/NA-BA/07%20IF16.3%20O-B/08-SOPRALLUOGHI/Report%20Appalti/O-B_Gantt%20di%20Sintesi.pdf?csf=1&amp;web=1&amp;e=XRSowC" TargetMode="External"/><Relationship Id="rId68" Type="http://schemas.openxmlformats.org/officeDocument/2006/relationships/hyperlink" Target="../../../../../../:x:/r/sites/POV-Italferr/_layouts/15/Doc.aspx?sourcedoc=%7B430B535E-91E8-4F2E-AFDD-ACCC0F4603DE%7D&amp;file=L4a_Prospetto%20SIL.xlsx&amp;action=default&amp;mobileredirect=true" TargetMode="External"/><Relationship Id="rId84" Type="http://schemas.openxmlformats.org/officeDocument/2006/relationships/printerSettings" Target="../printerSettings/printerSettings3.bin"/><Relationship Id="rId16" Type="http://schemas.openxmlformats.org/officeDocument/2006/relationships/hyperlink" Target="../../../../../../:x:/r/sites/POV-Italferr/Shared%20Documents/Commesse/NA-BA/03%20IF15.2%20FTT/09%20AVANZAMENTO%20LAVORI/Report%20Appalti/Ultima%20Trimestrale.xlsx?d=wc90a033068244b7f86b7400fe761481c&amp;csf=1&amp;web=1&amp;e=Dtc38F" TargetMode="External"/><Relationship Id="rId11" Type="http://schemas.openxmlformats.org/officeDocument/2006/relationships/hyperlink" Target="../../../../../../:x:/r/sites/POV-Italferr/Shared%20Documents/Commesse/NA-BA/01%20IF14%20VC/09%20AVANZ%20LAV/Report%20Appalti/Tabulato%20Produzioni.xlsx?d=w76b5dbe0dfb54976a78f8e5e1e02715b&amp;csf=1&amp;web=1&amp;e=I9lIfO" TargetMode="External"/><Relationship Id="rId32" Type="http://schemas.openxmlformats.org/officeDocument/2006/relationships/hyperlink" Target="../../../Forms/AllItems.aspx?id=%2Fsites%2FPOV%2DItalferr%2FShared%20Documents%2FCommesse%2FCAMPANIA%2FNN14%2E1R01%5FMETRO%20SALERNO%2F02%20GANTT%20DI%20SINTESI%2FParte%20A%2F240502%5FMETRO%20SA%20GANTT%20DI%20SINTESI%20fase%20A%20%28PLO%20non%20app%2E%29%2Epdf&amp;viewid=51249a28%2D9e7c%2D4e00%2D8ded%2D2e23221d4ea6&amp;parent=%2Fsites%2FPOV%2DItalferr%2FShared%20Documents%2FCommesse%2FCAMPANIA%2FNN14%2E1R01%5FMETRO%20SALERNO%2F02%20GANTT%20DI%20SINTESI%2FParte%20A" TargetMode="External"/><Relationship Id="rId37" Type="http://schemas.openxmlformats.org/officeDocument/2006/relationships/hyperlink" Target="../../../Forms/AllItems.aspx?id=%2Fsites%2FPOV%2DItalferr%2FShared%20Documents%2FCommesse%2FTRATTE%20AV%2DAC%2FIN09%2E1R01%20VR%2DBIVIO%2F999%20VARIE%2FProgramma%20AMIS%2DCVT%20per%20attivazioni%2F240620%2F240620%5FVR%2DBIVIO%20GANTT%20DI%20SINTESI%5FREV01%2Epdf&amp;viewid=51249a28%2D9e7c%2D4e00%2D8ded%2D2e23221d4ea6&amp;parent=%2Fsites%2FPOV%2DItalferr%2FShared%20Documents%2FCommesse%2FTRATTE%20AV%2DAC%2FIN09%2E1R01%20VR%2DBIVIO%2F999%20VARIE%2FProgramma%20AMIS%2DCVT%20per%20attivazioni%2F240620" TargetMode="External"/><Relationship Id="rId53" Type="http://schemas.openxmlformats.org/officeDocument/2006/relationships/hyperlink" Target="../../../../../../:b:/r/sites/POV-Italferr/Shared%20Documents/Commesse/SICILIA/RS06.1R03_PA-TP/01%20PLO/03%20GANTT%20SINTESI/Ripristino%20Linea%20PA-TP_Gantt%20di%20sintesi.pdf?csf=1&amp;web=1&amp;e=4Yiq8A" TargetMode="External"/><Relationship Id="rId58" Type="http://schemas.openxmlformats.org/officeDocument/2006/relationships/hyperlink" Target="../../../../../../:x:/r/sites/POV-Italferr/Shared%20Documents/Commesse/NA-BA/03%20IF15.2%20FTT/09%20AVANZAMENTO%20LAVORI/Report%20Appalti/Tabulato%20Produzioni.xlsx?d=w3824209d20e2477ca9bccc296836ed85&amp;csf=1&amp;web=1&amp;e=Uo0Myb" TargetMode="External"/><Relationship Id="rId74" Type="http://schemas.openxmlformats.org/officeDocument/2006/relationships/hyperlink" Target="../../../../../../:x:/r/sites/POV-Italferr/_layouts/15/Doc.aspx?sourcedoc=%7B7B1630F5-A11C-43D6-B5E8-299E37DED776%7D&amp;file=tab%20produzione_BARI_SUD.xlsx&amp;action=default&amp;mobileredirect=true" TargetMode="External"/><Relationship Id="rId79" Type="http://schemas.openxmlformats.org/officeDocument/2006/relationships/hyperlink" Target="../../../../../../:x:/r/sites/POV-Italferr/_layouts/15/Doc.aspx?sourcedoc=%7B1F2EBAC5-8FA5-4312-BBF6-F12A1A8565DD%7D&amp;file=Prospetto%20importi_TERMOLI_RIPALTA.xlsx&amp;action=default&amp;mobileredirect=true" TargetMode="External"/><Relationship Id="rId5" Type="http://schemas.openxmlformats.org/officeDocument/2006/relationships/hyperlink" Target="../../../Forms/AllItems.aspx?id=%2Fsites%2FPOV%2DItalferr%2FShared%20Documents%2FCommesse%2FME%2DCT%2DPA%2F01%20RS20%20L6%20BI%2DCA%2F01%20PLO%20CONTRATTUALE%2F01%20APPALTATORE%2FREV%20L%2FPLO%20rev%5FL%20%2D%20Allegato%201%5F%5FCurva%20SIL%2Epdf&amp;viewid=51249a28%2D9e7c%2D4e00%2D8ded%2D2e23221d4ea6&amp;parent=%2Fsites%2FPOV%2DItalferr%2FShared%20Documents%2FCommesse%2FME%2DCT%2DPA%2F01%20RS20%20L6%20BI%2DCA%2F01%20PLO%20CONTRATTUALE%2F01%20APPALTATORE%2FREV%20L" TargetMode="External"/><Relationship Id="rId19" Type="http://schemas.openxmlformats.org/officeDocument/2006/relationships/hyperlink" Target="../../../../../../:b:/r/sites/POV-Italferr/Shared%20Documents/Commesse/LOMBARDIA/NODO%20DI%20BERGAMO/NM29.1R01.A01%20BG%20-%20Orio%20al%20Serio/00%20DB/SCHEMATICO+GANTT%20SINTESI/GANTT%20DI%20SINTESI_PLE%20NON%20APP.pdf?csf=1&amp;web=1&amp;e=JcDj4Z" TargetMode="External"/><Relationship Id="rId14" Type="http://schemas.openxmlformats.org/officeDocument/2006/relationships/hyperlink" Target="../../../../../../:b:/r/sites/POV-Italferr/Shared%20Documents/Commesse/NA-BA/06%20IF16.2%20H-O/11%20SOPRALLUOGHI/Report%20Appalti/H-O_Gantt%20Sintesi%20Confronto.pdf?csf=1&amp;web=1&amp;e=FzGZ58" TargetMode="External"/><Relationship Id="rId22" Type="http://schemas.openxmlformats.org/officeDocument/2006/relationships/hyperlink" Target="../../../../../../:b:/r/sites/POV-Italferr/Shared%20Documents/Commesse/TRENTINO%20ALTO%20ADIGE/NBZ1.2R01.A01_TUNNEL_VIRGOLO/00%20DB/Gantt_sintesi%20Base%20Gara.pdf?csf=1&amp;web=1&amp;e=pOPp6W" TargetMode="External"/><Relationship Id="rId27" Type="http://schemas.openxmlformats.org/officeDocument/2006/relationships/hyperlink" Target="../../../../../../:x:/r/sites/POV-Italferr/_layouts/15/Doc.aspx?sourcedoc=%7BD1B47C62-C2E4-423A-8BEA-89D05DFB009E%7D&amp;file=230930_PROSPETTO%20IMP%20ECO%20TESAV.xlsx&amp;action=default&amp;mobileredirect=true" TargetMode="External"/><Relationship Id="rId30" Type="http://schemas.openxmlformats.org/officeDocument/2006/relationships/hyperlink" Target="../../../../../../:x:/r/sites/POV-Italferr/Shared%20Documents/Commesse/ME-CT-PA/RS27.1R01%20TAORM-FIUM/01%20PLO/Prospetto%20SIL_L1.xlsx?d=w5e259bb7db764b519526c4722292ea02&amp;csf=1&amp;web=1&amp;e=cUD1Dr&amp;nav=MTVfe0MzOERDMThBLUEzMzUtNEIzOS05NzJCLTdGQjM1NjhCQzNDQ30" TargetMode="External"/><Relationship Id="rId35" Type="http://schemas.openxmlformats.org/officeDocument/2006/relationships/hyperlink" Target="../../../Forms/AllItems.aspx?id=%2Fsites%2FPOV%2DItalferr%2FShared%20Documents%2FCommesse%2FNA%2DBA%2F04%20IF15%2E2R02%20TE%2DSLO%2DVI%2F10%20VARIANTI%20PROROGHE%20E%20SOSPENSIONI%2FACCELERAMENTI%2FOLD%2FTUP%203%2E2%20giugno%2026%2F240213%5FGANTT%20DI%20SINTESI%20TELESE%20CONTR%5FACCELER%2Epdf&amp;viewid=51249a28%2D9e7c%2D4e00%2D8ded%2D2e23221d4ea6&amp;parent=%2Fsites%2FPOV%2DItalferr%2FShared%20Documents%2FCommesse%2FNA%2DBA%2F04%20IF15%2E2R02%20TE%2DSLO%2DVI%2F10%20VARIANTI%20PROROGHE%20E%20SOSPENSIONI%2FACCELERAMENTI%2FOLD%2FTUP%203%2E2%20giugno%2026" TargetMode="External"/><Relationship Id="rId43" Type="http://schemas.openxmlformats.org/officeDocument/2006/relationships/hyperlink" Target="../../../../../../:b:/r/sites/POV-Italferr/Shared%20Documents/Commesse/TOSCANA/NF21.1R01%20Nodo%20FI/02%20MENSILI/2024/17%20REPORT%2030-09-24/ITF/NF_tabulato%20prod_set-24.pdf?csf=1&amp;web=1&amp;e=6ikosg" TargetMode="External"/><Relationship Id="rId48" Type="http://schemas.openxmlformats.org/officeDocument/2006/relationships/hyperlink" Target="../../../../../../:x:/r/sites/POV-Italferr/Shared%20Documents/Commesse/ME-CT-PA/RS27.1R01%20TAORM-FIUM/03%20TRIMESTRALI/2024-10/04%20TABULATI/L1_TAB_Ott%2024_CONTABILITA%27%20DL.xlsx?d=wfb71b1f4a1d4411eb6149881abb1c78a&amp;csf=1&amp;web=1&amp;e=Aw5axA&amp;nav=MTVfezYwMDI5NkQ3LUUxRUEtNDU3Ni1CQjBBLUJCMUMwQTc0NTE5NH0" TargetMode="External"/><Relationship Id="rId56" Type="http://schemas.openxmlformats.org/officeDocument/2006/relationships/hyperlink" Target="../../../../../../:b:/r/sites/POV-Italferr/Shared%20Documents/Commesse/NA-BA/01%20IF14%20VC/09%20AVANZ%20LAV/Report%20Appalti/NACA%20GANTT%20SINTESI.pdf?csf=1&amp;web=1&amp;e=mct1Ie" TargetMode="External"/><Relationship Id="rId64" Type="http://schemas.openxmlformats.org/officeDocument/2006/relationships/hyperlink" Target="../../../../../../:x:/r/sites/POV-Italferr/Shared%20Documents/Commesse/NA-BA/07%20IF16.3%20O-B/08-SOPRALLUOGHI/Report%20Appalti/Tabulato%20Produzioni.xlsx?d=wa6adba7c93f9473fb7657152266db40f&amp;csf=1&amp;web=1&amp;e=9rt0db" TargetMode="External"/><Relationship Id="rId69" Type="http://schemas.openxmlformats.org/officeDocument/2006/relationships/hyperlink" Target="../../../../../../:x:/r/sites/POV-Italferr/Shared%20Documents/Commesse/TRENTINO%20ALTO%20ADIGE/IB05.1R03.A01_CIRCOVALLAZIONE%20DI%20TRENTO/03%20TRIMESTRALI/PROSPETTO%20IMPORTI%20CIRCO%20TRENTO%20Opere%20di%20Parte%20A.xlsx?d=we150a0a8638546ff8307f22eba9cc42a&amp;csf=1&amp;web=1&amp;e=fKlgk4" TargetMode="External"/><Relationship Id="rId77" Type="http://schemas.openxmlformats.org/officeDocument/2006/relationships/hyperlink" Target="../../../../../../:x:/r/sites/POV-Italferr/_layouts/15/Doc.aspx?sourcedoc=%7BEDEA0E9A-E7CA-4CD4-8E8D-7DE0EF328876%7D&amp;file=Prospetto%20Importi_R-L.xlsx&amp;action=default&amp;mobileredirect=true" TargetMode="External"/><Relationship Id="rId8" Type="http://schemas.openxmlformats.org/officeDocument/2006/relationships/hyperlink" Target="../../../../../../:x:/r/sites/POV-Italferr/Shared%20Documents/Commesse/TRENTINO%20ALTO%20ADIGE/IB05.1R03.A01_CIRCOVALLAZIONE%20DI%20TRENTO/03%20TRIMESTRALI/2%5ETRIM%20PARTE%20A%2017-06-25/280225_Tabulato%20Produzioni_rev02.xlsx?d=w41f90e04319e41ca988dd4cfcacb3f88&amp;csf=1&amp;web=1&amp;e=NKFyvb" TargetMode="External"/><Relationship Id="rId51" Type="http://schemas.openxmlformats.org/officeDocument/2006/relationships/hyperlink" Target="../../../../../../:x:/r/sites/POV-Italferr/Shared%20Documents/Commesse/ME-CT-PA/RS20.1R08_L3%20LERCARA-CL/01%20PLO/L3_Prospetto%20SIL.xlsx?d=wfa9ed972355e4d93a7ca72b5d2412a28&amp;csf=1&amp;web=1&amp;e=PMGJ9C&amp;nav=MTVfezJCNzc1RjNDLUQ3OTAtNEY4NS1BMEU1LUVCMTIwMzc2MDRDQn0" TargetMode="External"/><Relationship Id="rId72" Type="http://schemas.openxmlformats.org/officeDocument/2006/relationships/hyperlink" Target="../../../../../../:x:/r/sites/POV-Italferr/_layouts/15/Doc.aspx?sourcedoc=%7B9C2C0933-3D27-4966-8F5A-83A6D907CEF6%7D&amp;file=Prospetto%20Importi_BARI_SUD.xlsx&amp;action=default&amp;mobileredirect=true" TargetMode="External"/><Relationship Id="rId80" Type="http://schemas.openxmlformats.org/officeDocument/2006/relationships/hyperlink" Target="../../../../../../:x:/r/sites/POV-Italferr/_layouts/15/Doc.aspx?sourcedoc=%7B1F2EBAC5-8FA5-4312-BBF6-F12A1A8565DD%7D&amp;file=Prospetto%20importi_TERMOLI_RIPALTA.xlsx&amp;action=default&amp;mobileredirect=true" TargetMode="External"/><Relationship Id="rId85" Type="http://schemas.openxmlformats.org/officeDocument/2006/relationships/drawing" Target="../drawings/drawing1.xml"/><Relationship Id="rId3" Type="http://schemas.openxmlformats.org/officeDocument/2006/relationships/hyperlink" Target="../../../../../../:b:/r/sites/POV-Italferr/Shared%20Documents/Commesse/TOSCANA/NF21.1R01%20Nodo%20FI/01%20PLO/03%20GANTT%20DI%20SINTESI/10_aggiornamenti/NF_Gantt%20sintesi%20aggiornato.pdf?csf=1&amp;web=1&amp;e=p7l9Y5" TargetMode="External"/><Relationship Id="rId12" Type="http://schemas.openxmlformats.org/officeDocument/2006/relationships/hyperlink" Target="../../../../../../:x:/r/sites/POV-Italferr/Shared%20Documents/Commesse/NA-BA/01%20IF14%20VC/09%20AVANZ%20LAV/Report%20Appalti/Curva_SIL.xlsx?d=we23cbbfe469f40fbb9ca68108789d614&amp;csf=1&amp;web=1&amp;e=oimvzo" TargetMode="External"/><Relationship Id="rId17" Type="http://schemas.openxmlformats.org/officeDocument/2006/relationships/hyperlink" Target="../../../../../../:x:/r/sites/POV-Italferr/Shared%20Documents/Commesse/NA-BA/03%20IF15.2%20FTT/09%20AVANZAMENTO%20LAVORI/Report%20Appalti/Curva%20SIL%20aggiornata.xlsx?d=w68b839423f3c4a2994c278c38ace3b81&amp;csf=1&amp;web=1&amp;e=wVSa3u" TargetMode="External"/><Relationship Id="rId25" Type="http://schemas.openxmlformats.org/officeDocument/2006/relationships/hyperlink" Target="../../../../../6004576/Gruppo%20Ferrovie%20Dello%20Stato/POV%20-%20Italferr%20-%20Commesse/TRENTINO%20ALTO%20ADIGE/IB05.1R02%20FORTEZZA%20-%20PONTE%20GARDENA/LOTTO%201/00%20DB/da%20caricare%20collegamento%20ipertestuale/Tabulato%20produzioni.xlsx" TargetMode="External"/><Relationship Id="rId33" Type="http://schemas.openxmlformats.org/officeDocument/2006/relationships/hyperlink" Target="../../../../../../:x:/r/sites/POV-Italferr/_layouts/15/Doc.aspx?sourcedoc=%7BAB3D7436-F46E-4FF6-8520-90B9D06A8052%7D&amp;file=PRODUZIONI%20VR_BIVIO%20ATTESE_VS_EFFETTIVE_1.xlsx&amp;action=default&amp;mobileredirect=true" TargetMode="External"/><Relationship Id="rId38" Type="http://schemas.openxmlformats.org/officeDocument/2006/relationships/hyperlink" Target="../../../../../../:x:/r/sites/POV-Italferr/Shared%20Documents/Commesse/BASILICATA/IA11.1R01_FERRANDINA%20-%20MATERA/04%20TRIMESTRALI/Fase%20A/PROSPETTO%20IMPORTI%20FERR-MATE.xlsx?d=w71c8be6795dd405d854ea4618f556a38&amp;csf=1&amp;web=1&amp;e=RXB8Tx" TargetMode="External"/><Relationship Id="rId46" Type="http://schemas.openxmlformats.org/officeDocument/2006/relationships/hyperlink" Target="../../../../../../:b:/r/sites/POV-Italferr/Shared%20Documents/Commesse/ME-CT-PA/RS20.1R07%20L4A%20EN-CALTANIS/01%20PLO/03%20GANTT%20SINTESI/L4a_Gantt%20di%20sintesi.pdf?csf=1&amp;web=1&amp;e=h7E8Dg" TargetMode="External"/><Relationship Id="rId59" Type="http://schemas.openxmlformats.org/officeDocument/2006/relationships/hyperlink" Target="../../../../../../:x:/r/sites/POV-Italferr/Shared%20Documents/Commesse/SICILIA/RS26.2R02_NODO%20CATANIA/03%20TRIMESTRALI/NC_Curva_S_aggiornato.xlsx?d=w91268c39cdb2459fb7c5efa1cce13afa&amp;csf=1&amp;web=1&amp;e=LPvMcx" TargetMode="External"/><Relationship Id="rId67" Type="http://schemas.openxmlformats.org/officeDocument/2006/relationships/hyperlink" Target="../../../../../../:x:/r/sites/POV-Italferr/Shared%20Documents/Commesse/ME-CT-PA/RS20.1R05%20L5%20DITTAINO-CATENANUOVA/03TRIMESTRALI/2024-12/04%20TABULATI/5_TAB_Giu%2024_part.%20B_dic%204.xlsx?d=wfa7b271ba94a4feaa7d86b6ef51db5ca&amp;csf=1&amp;web=1&amp;e=WDz4Q2" TargetMode="External"/><Relationship Id="rId20" Type="http://schemas.openxmlformats.org/officeDocument/2006/relationships/hyperlink" Target="../../../../../../:b:/r/sites/POV-Italferr/Shared%20Documents/Commesse/TRENTINO%20ALTO%20ADIGE/IB15.1R01.A01_VAL%20DI%20RIGA/01%20PLO%20CONTRATTUALE/03%20GANTT%20DI%20SINTESI/Gantt%20di%20sintesi%20PLE.pdf?csf=1&amp;web=1&amp;e=igNDNC" TargetMode="External"/><Relationship Id="rId41" Type="http://schemas.openxmlformats.org/officeDocument/2006/relationships/hyperlink" Target="../../../../../../:x:/r/sites/POV-Italferr/Shared%20Documents/Commesse/ME-CT-PA/RS20.1R06%20L4B%20ENNA-DITTAINO/01%20PLO/4B_Prospetto%20SIL.xlsx?d=wb0f795bbeadf44e4a9a438c8bd53791d&amp;csf=1&amp;web=1&amp;e=5rUNG2" TargetMode="External"/><Relationship Id="rId54" Type="http://schemas.openxmlformats.org/officeDocument/2006/relationships/hyperlink" Target="../../../../../../:x:/r/sites/POV-Italferr/Shared%20Documents/Commesse/SICILIA/RS06.1R03_PA-TP/01%20PLO/PA-TP_Prospetto%20SIL.xlsx?d=wc2267580b0f84c9fbfef8f0c2280ccf8&amp;csf=1&amp;web=1&amp;e=LvC3ar&amp;nav=MTVfe0MzOERDMThBLUEzMzUtNEIzOS05NzJCLTdGQjM1NjhCQzNDQ30" TargetMode="External"/><Relationship Id="rId62" Type="http://schemas.openxmlformats.org/officeDocument/2006/relationships/hyperlink" Target="../../../../../../:x:/r/sites/POV-Italferr/Shared%20Documents/Commesse/NA-BA/06%20IF16.2%20H-O/11%20SOPRALLUOGHI/Report%20Appalti/Curva%20SIL%20Aggiornata.xlsx?d=wd659517e7138480b94d7eb093f077575&amp;csf=1&amp;web=1&amp;e=1yHU3A" TargetMode="External"/><Relationship Id="rId70" Type="http://schemas.openxmlformats.org/officeDocument/2006/relationships/hyperlink" Target="../../../../../6003837/OneDrive%20-%20Gruppo%20Ferrovie%20Dello%20Stato/Documenti%20-%20POV%20-%20Italferr/Commesse/CAMPANIA/NN14.1R01_METRO%20SALERNO/05%20TRIMESTRALI" TargetMode="External"/><Relationship Id="rId75" Type="http://schemas.openxmlformats.org/officeDocument/2006/relationships/hyperlink" Target="../../../../../../:x:/r/sites/POV-Italferr/_layouts/15/Doc.aspx?sourcedoc=%7BEDEA0E9A-E7CA-4CD4-8E8D-7DE0EF328876%7D&amp;file=Prospetto%20Importi_R-L.xlsx&amp;action=default&amp;mobileredirect=true" TargetMode="External"/><Relationship Id="rId83" Type="http://schemas.openxmlformats.org/officeDocument/2006/relationships/hyperlink" Target="../../../../../../:x:/r/sites/POV-Italferr/Shared%20Documents/Commesse/ME-CT-PA/RS20.1R09_L1+L2%20LERCARA-FIUMETORTO/01%20PLO/L1+2_Prospetto%20SIL.xlsx?d=w26fc86c993294da7a398001d93eea9d9&amp;csf=1&amp;web=1&amp;e=nGrzrn&amp;nav=MTVfe0MzOERDMThBLUEzMzUtNEIzOS05NzJCLTdGQjM1NjhCQzNDQ30" TargetMode="External"/><Relationship Id="rId88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../../../Forms/AllItems.aspx?FolderCTID=0x0120000EB432314E197C4BACAC3029B7FECBF1&amp;id=%2Fsites%2FPOV%2DItalferr%2FShared%20Documents%2FCommesse%2FTOSCANA%2FNF21%2E1R01%20Nodo%20FI%2F02%20MENSILI%2FProspetto%20Importi%5FNF21%2Epdf&amp;viewid=51249a28%2D9e7c%2D4e00%2D8ded%2D2e23221d4ea6&amp;parent=%2Fsites%2FPOV%2DItalferr%2FShared%20Documents%2FCommesse%2FTOSCANA%2FNF21%2E1R01%20Nodo%20FI%2F02%20MENSILI" TargetMode="External"/><Relationship Id="rId15" Type="http://schemas.openxmlformats.org/officeDocument/2006/relationships/hyperlink" Target="../../../../../../:x:/r/sites/POV-Italferr/Shared%20Documents/Commesse/NA-BA/06%20IF16.2%20H-O/11%20SOPRALLUOGHI/Report%20Appalti/Ultima%20Trimestrale.xlsx?d=wa25ebed47d804ac9a6bcedde877bcd5c&amp;csf=1&amp;web=1&amp;e=3bSjjl" TargetMode="External"/><Relationship Id="rId23" Type="http://schemas.openxmlformats.org/officeDocument/2006/relationships/hyperlink" Target="../../../../../6004576/Gruppo%20Ferrovie%20Dello%20Stato/POV%20-%20Italferr%20-%20Commesse/TRENTINO%20ALTO%20ADIGE/IB05.1R02%20FORTEZZA%20-%20PONTE%20GARDENA/LOTTO%201/00%20DB/da%20caricare%20collegamento%20ipertestuale/GANTT%20DI%20SINTESI%2030-09.pdf" TargetMode="External"/><Relationship Id="rId28" Type="http://schemas.openxmlformats.org/officeDocument/2006/relationships/hyperlink" Target="../../../../../../:b:/r/sites/POV-Italferr/Shared%20Documents/Commesse/ME-CT-PA/RS27.1R01%20TAORM-FIUM/01%20PLO/03%20GANTT%20SINTESI/L1_Gantt%20sintesi_con%20previsione.pdf?csf=1&amp;web=1&amp;e=6kHvTP" TargetMode="External"/><Relationship Id="rId36" Type="http://schemas.openxmlformats.org/officeDocument/2006/relationships/hyperlink" Target="../../../../../../:x:/r/sites/POV-Italferr/_layouts/15/Doc.aspx?sourcedoc=%7BAD1C1F81-9F6E-4A30-8506-A1B921F03AA8%7D&amp;file=CURVA%20SIL%20AGGIORNATA.xlsx&amp;action=default&amp;mobileredirect=true" TargetMode="External"/><Relationship Id="rId49" Type="http://schemas.openxmlformats.org/officeDocument/2006/relationships/hyperlink" Target="../../../../../../:x:/r/sites/POV-Italferr/Shared%20Documents/Commesse/ME-CT-PA/RS20.1R09_L1+L2%20LERCARA-FIUMETORTO/01%20PLO/L1+2_Prospetto%20SIL.xlsx?d=w26fc86c993294da7a398001d93eea9d9&amp;csf=1&amp;web=1&amp;e=1pI6rg&amp;nav=MTVfezJCNzc1RjNDLUQ3OTAtNEY4NS1BMEU1LUVCMTIwMzc2MDRDQn0" TargetMode="External"/><Relationship Id="rId57" Type="http://schemas.openxmlformats.org/officeDocument/2006/relationships/hyperlink" Target="../../../../../../:b:/r/sites/POV-Italferr/Shared%20Documents/Commesse/NA-BA/03%20IF15.2%20FTT/09%20AVANZAMENTO%20LAVORI/Report%20Appalti/FTT%20-%20Gantt%20di%20Sintesi.pdf?csf=1&amp;web=1&amp;e=PZTrqs" TargetMode="External"/><Relationship Id="rId10" Type="http://schemas.openxmlformats.org/officeDocument/2006/relationships/hyperlink" Target="../../../../../../:x:/r/sites/POV-Italferr/Shared%20Documents/Commesse/NA-BA/01%20IF14%20VC/09%20AVANZ%20LAV/Report%20Appalti/ULTIMO%20MENSILE.xlsx?d=we8b0bb851c124cf9a19439b03cd71458&amp;csf=1&amp;web=1&amp;e=GlbAvp" TargetMode="External"/><Relationship Id="rId31" Type="http://schemas.openxmlformats.org/officeDocument/2006/relationships/hyperlink" Target="../../../../../../:x:/r/sites/POV-Italferr/Shared%20Documents/Commesse/ME-CT-PA/RS27.1R01%20TAORM-FIUM/01%20PLO/Prospetto%20SIL_L1.xlsx?d=w5e259bb7db764b519526c4722292ea02&amp;csf=1&amp;web=1&amp;e=z0n2uL&amp;nav=MTVfezJCNzc1RjNDLUQ3OTAtNEY4NS1BMEU1LUVCMTIwMzc2MDRDQn0" TargetMode="External"/><Relationship Id="rId44" Type="http://schemas.openxmlformats.org/officeDocument/2006/relationships/hyperlink" Target="../../../../../../:b:/r/sites/POV-Italferr/Shared%20Documents/Commesse/ME-CT-PA/RS20.1R08_L3%20LERCARA-CL/01%20PLO/03%20GANTT%20DI%20SINTESI/L3_Gantt%20di%20sintesi.pdf?csf=1&amp;web=1&amp;e=lIPyqF" TargetMode="External"/><Relationship Id="rId52" Type="http://schemas.openxmlformats.org/officeDocument/2006/relationships/hyperlink" Target="../../../../../../:x:/r/sites/POV-Italferr/Shared%20Documents/Commesse/SICILIA/RS06.1R03_PA-TP/01%20PLO/PA-TP_Prospetto%20SIL.xlsx?d=wc2267580b0f84c9fbfef8f0c2280ccf8&amp;csf=1&amp;web=1&amp;e=P8SXWi&amp;nav=MTVfezJCNzc1RjNDLUQ3OTAtNEY4NS1BMEU1LUVCMTIwMzc2MDRDQn0" TargetMode="External"/><Relationship Id="rId60" Type="http://schemas.openxmlformats.org/officeDocument/2006/relationships/hyperlink" Target="../../../../../../:x:/r/sites/POV-Italferr/Shared%20Documents/Commesse/NA-BA/06%20IF16.2%20H-O/11%20SOPRALLUOGHI/Report%20Appalti/Tabulato%20Produzioni.xlsx?d=w571a4b3e4bf0430b9a95e56daaed726e&amp;csf=1&amp;web=1&amp;e=QwDjHx" TargetMode="External"/><Relationship Id="rId65" Type="http://schemas.openxmlformats.org/officeDocument/2006/relationships/hyperlink" Target="../../../../../../:x:/r/sites/POV-Italferr/Shared%20Documents/Commesse/NA-BA/07%20IF16.3%20O-B/08-SOPRALLUOGHI/Report%20Appalti/Curva%20SIL%20aggiornata.xlsx?d=w73e632d9e0f04ae9814ececb55601e50&amp;csf=1&amp;web=1&amp;e=55nBQc" TargetMode="External"/><Relationship Id="rId73" Type="http://schemas.openxmlformats.org/officeDocument/2006/relationships/hyperlink" Target="../../../../../../:x:/r/sites/POV-Italferr/_layouts/15/Doc.aspx?sourcedoc=%7B9BED07C9-4530-4C60-A0CB-6E41330CE954%7D&amp;file=Confronto%20Curve%20SIL.xlsx&amp;action=default&amp;mobileredirect=true" TargetMode="External"/><Relationship Id="rId78" Type="http://schemas.openxmlformats.org/officeDocument/2006/relationships/hyperlink" Target="../../../../../../:x:/r/sites/POV-Italferr/_layouts/15/Doc.aspx?sourcedoc=%7B0AFB1CCB-90F4-412B-BDB4-1F94CD223064%7D&amp;file=tab%20produzione_TERMOLI_RIPALTA.xlsx&amp;action=default&amp;mobileredirect=true" TargetMode="External"/><Relationship Id="rId81" Type="http://schemas.openxmlformats.org/officeDocument/2006/relationships/hyperlink" Target="../../../Forms/AllItems.aspx?FolderCTID=0x0120000EB432314E197C4BACAC3029B7FECBF1&amp;id=%2Fsites%2FPOV%2DItalferr%2FShared%20Documents%2FCommesse%2FPE%2DFG%2F02%20Termoli%5FRipalta%5F%20LIA3%2E1R02%2EA01%2F03%2DGANT%20DI%20SINTESI%2FGantt%20di%20sintesi%2Epdf&amp;parent=%2Fsites%2FPOV%2DItalferr%2FShared%20Documents%2FCommesse%2FPE%2DFG%2F02%20Termoli%5FRipalta%5F%20LIA3%2E1R02%2EA01%2F03%2DGANT%20DI%20SINTESI" TargetMode="External"/><Relationship Id="rId86" Type="http://schemas.openxmlformats.org/officeDocument/2006/relationships/vmlDrawing" Target="../drawings/vmlDrawing1.vml"/><Relationship Id="rId4" Type="http://schemas.openxmlformats.org/officeDocument/2006/relationships/hyperlink" Target="../../../Forms/AllItems.aspx?id=%2Fsites%2FPOV%2DItalferr%2FShared%20Documents%2FCommesse%2FTOSCANA%2FNF21%2E1R01%20Nodo%20FI%2F03%20TRIMESTRALI%2F6%5E%20TRIM%2031%2D07%2D24%2FAPPALTATORE%2Fcurva%20SIL%2Epdf&amp;viewid=51249a28%2D9e7c%2D4e00%2D8ded%2D2e23221d4ea6&amp;parent=%2Fsites%2FPOV%2DItalferr%2FShared%20Documents%2FCommesse%2FTOSCANA%2FNF21%2E1R01%20Nodo%20FI%2F03%20TRIMESTRALI%2F6%5E%20TRIM%2031%2D07%2D24%2FAPPALTATORE" TargetMode="External"/><Relationship Id="rId9" Type="http://schemas.openxmlformats.org/officeDocument/2006/relationships/hyperlink" Target="../../../../../../:x:/r/sites/POV-Italferr/Shared%20Documents/Commesse/TRENTINO%20ALTO%20ADIGE/IB05.1R03.A01_CIRCOVALLAZIONE%20DI%20TRENTO/03%20TRIMESTRALI/2%5ETRIM%20PARTE%20A%2017-06-25/Curva%20S%20Aggiornata.xlsx?d=w85e9ccba66d64632b6e75f19f25da9bb&amp;csf=1&amp;web=1&amp;e=42dOUZ" TargetMode="External"/><Relationship Id="rId13" Type="http://schemas.openxmlformats.org/officeDocument/2006/relationships/hyperlink" Target="../../../../../../:x:/r/sites/POV-Italferr/Shared%20Documents/Commesse/NA-BA/07%20IF16.3%20O-B/08-SOPRALLUOGHI/Report%20Appalti/Ultima%20Trimestrale.xlsx?d=w2cd8f5338bb34def88025e4d621eb2af&amp;csf=1&amp;web=1&amp;e=xcErx0" TargetMode="External"/><Relationship Id="rId18" Type="http://schemas.openxmlformats.org/officeDocument/2006/relationships/hyperlink" Target="../../../../../../:b:/r/sites/POV-Italferr/Shared%20Documents/Commesse/LOMBARDIA/NM20.1R04%20-%20MIilano%20Rog.%20-%20Pieve%20Em/00%20DATI%20DI%20BASE/Schematico%20POV+gantt%20di%20sintesi/GANTT%20SINTESI/GANTT%20SINTESI%20MACROFASI.pdf?csf=1&amp;web=1&amp;e=Fch9ua" TargetMode="External"/><Relationship Id="rId39" Type="http://schemas.openxmlformats.org/officeDocument/2006/relationships/hyperlink" Target="../../../../../../:x:/r/sites/POV-Italferr/Shared%20Documents/Commesse/BASILICATA/IA11.1R01_FERRANDINA%20-%20MATERA/03%20GANTT%20DI%20SINTESI/CURVA%20SIL%20AGGIORNATA.xlsx?d=w5300b6b4058147d3a3d34c672d1062ac&amp;csf=1&amp;web=1&amp;e=zXxJTg" TargetMode="External"/><Relationship Id="rId34" Type="http://schemas.openxmlformats.org/officeDocument/2006/relationships/hyperlink" Target="../../../../../../:x:/r/sites/POV-Italferr/_layouts/15/Doc.aspx?sourcedoc=%7BA2B78B3B-94A2-4BC5-83C3-34BD5AA00341%7D&amp;file=Confronto%20temporale_economico%20PdR_PC%20marzo%202025.xlsx&amp;action=default&amp;mobileredirect=true" TargetMode="External"/><Relationship Id="rId50" Type="http://schemas.openxmlformats.org/officeDocument/2006/relationships/hyperlink" Target="../../../../../../:x:/r/sites/POV-Italferr/Shared%20Documents/Commesse/ME-CT-PA/RS20.1R07%20L4A%20EN-CALTANIS/01%20PLO/L4a_Prospetto%20SIL.xlsx?d=w430b535e91e84f2eafddaccc0f4603de&amp;csf=1&amp;web=1&amp;e=yHgpAB&amp;nav=MTVfezJCNzc1RjNDLUQ3OTAtNEY4NS1BMEU1LUVCMTIwMzc2MDRDQn0" TargetMode="External"/><Relationship Id="rId55" Type="http://schemas.openxmlformats.org/officeDocument/2006/relationships/hyperlink" Target="../../../../../../:x:/r/sites/POV-Italferr/Shared%20Documents/Commesse/SICILIA/RS06.1R03_PA-TP/03%20TRIMESTRALI/2025-01/ITF/PA-TP_TAB_Gen%2025.xlsx?d=w204e9eeb1439475285e87f768d4ae355&amp;csf=1&amp;web=1&amp;e=giCm88&amp;nav=MTVfezYwMDI5NkQ3LUUxRUEtNDU3Ni1CQjBBLUJCMUMwQTc0NTE5NH0" TargetMode="External"/><Relationship Id="rId76" Type="http://schemas.openxmlformats.org/officeDocument/2006/relationships/hyperlink" Target="../../../../../../:x:/r/sites/POV-Italferr/_layouts/15/Doc.aspx?sourcedoc=%7B5F85F088-6E5E-46FA-AB7F-9E05D029B129%7D&amp;file=tab%20produzione_%20POST%20AIM.xlsx&amp;action=default&amp;mobileredirect=true" TargetMode="External"/><Relationship Id="rId7" Type="http://schemas.openxmlformats.org/officeDocument/2006/relationships/hyperlink" Target="../../../../../../:b:/r/sites/POV-Italferr/Shared%20Documents/Commesse/TRENTINO%20ALTO%20ADIGE/IB05.1R03.A01_CIRCOVALLAZIONE%20DI%20TRENTO/01%20PLO%20CONTRATTUALE/03%20GANTT%20DI%20SINTESI/Gantt%20Sintesi%20Agg.05112024.pdf?csf=1&amp;web=1&amp;e=y29E1a" TargetMode="External"/><Relationship Id="rId71" Type="http://schemas.openxmlformats.org/officeDocument/2006/relationships/hyperlink" Target="../../../Forms/AllItems.aspx?FolderCTID=0x0120000EB432314E197C4BACAC3029B7FECBF1&amp;id=%2Fsites%2FPOV%2DItalferr%2FShared%20Documents%2FCommesse%2FPUGLIA%2FIA54%2E1R01%5FBARI%20SUD%2F03%5FGANTT%20DI%20SINTESI%2F%2D%20Gantt%20di%20Sintesi%5FBCLE%20%2D%20BTORR%2Epdf&amp;parent=%2Fsites%2FPOV%2DItalferr%2FShared%20Documents%2FCommesse%2FPUGLIA%2FIA54%2E1R01%5FBARI%20SUD%2F03%5FGANTT%20DI%20SINTESI" TargetMode="External"/><Relationship Id="rId2" Type="http://schemas.openxmlformats.org/officeDocument/2006/relationships/printerSettings" Target="../printerSettings/printerSettings2.bin"/><Relationship Id="rId29" Type="http://schemas.openxmlformats.org/officeDocument/2006/relationships/hyperlink" Target="../../../../../../:x:/r/sites/POV-Italferr/_layouts/15/Doc.aspx?sourcedoc=%7B700A106A-C7EB-4CB7-A12D-925D6A1776EF%7D&amp;file=TABULATO%20TESAV.xlsx&amp;action=default&amp;mobileredirect=true" TargetMode="External"/><Relationship Id="rId24" Type="http://schemas.openxmlformats.org/officeDocument/2006/relationships/hyperlink" Target="../../../../../6004576/Gruppo%20Ferrovie%20Dello%20Stato/POV%20-%20Italferr%20-%20Commesse/TRENTINO%20ALTO%20ADIGE/IB05.1R02%20FORTEZZA%20-%20PONTE%20GARDENA/LOTTO%201/00%20DB/da%20caricare%20collegamento%20ipertestuale/ULTIMA%20TRIMESTRALE.xlsx" TargetMode="External"/><Relationship Id="rId40" Type="http://schemas.openxmlformats.org/officeDocument/2006/relationships/hyperlink" Target="../../../../../../:b:/r/sites/POV-Italferr/Shared%20Documents/Commesse/ME-CT-PA/RS20.1R09_L1+L2%20LERCARA-FIUMETORTO/01%20PLO/03%20GANTT%20DI%20SINTESI/L1+2_Gantt%20di%20sintesi.pdf?csf=1&amp;web=1&amp;e=4to00D" TargetMode="External"/><Relationship Id="rId45" Type="http://schemas.openxmlformats.org/officeDocument/2006/relationships/hyperlink" Target="../../../../../../:b:/r/sites/POV-Italferr/Shared%20Documents/Commesse/BASILICATA/IA11.1R01_FERRANDINA%20-%20MATERA/03%20GANTT%20DI%20SINTESI/gantt%20di%20sintesi%20FERR-MATE%20+%20prev%20al%2031_10_24.pdf?csf=1&amp;web=1&amp;e=0v9hYZ" TargetMode="External"/><Relationship Id="rId66" Type="http://schemas.openxmlformats.org/officeDocument/2006/relationships/hyperlink" Target="../../../../../../:x:/r/sites/POV-Italferr/Shared%20Documents/Commesse/SICILIA/RS26.2R02_NODO%20CATANIA/03%20TRIMESTRALI/2025-02/04%20TABULATI/lot5_TAB_Apr%2024_part.B_nc.xlsx?d=w8be4e77322684d5a9d431c7c28764191&amp;csf=1&amp;web=1&amp;e=ke2sjC" TargetMode="External"/><Relationship Id="rId87" Type="http://schemas.openxmlformats.org/officeDocument/2006/relationships/comments" Target="../comments1.xml"/><Relationship Id="rId61" Type="http://schemas.openxmlformats.org/officeDocument/2006/relationships/hyperlink" Target="../../../../../../:x:/r/sites/POV-Italferr/Shared%20Documents/Commesse/SICILIA/RS26.2R02_NODO%20CATANIA/01%20PLO/Prospetto%20SIL.xlsx?d=wcbc49fc9809945ab8edec612e1e6a871&amp;csf=1&amp;web=1&amp;e=LQdeS1" TargetMode="External"/><Relationship Id="rId82" Type="http://schemas.openxmlformats.org/officeDocument/2006/relationships/hyperlink" Target="../../../../../../:x:/r/sites/POV-Italferr/Shared%20Documents/Commesse/ME-CT-PA/RS20.1R08_L3%20LERCARA-CL/01%20PLO/L3_Prospetto%20SIL.xlsx?d=wfa9ed972355e4d93a7ca72b5d2412a28&amp;csf=1&amp;web=1&amp;e=UtY1bR&amp;nav=MTVfe0MzOERDMThBLUEzMzUtNEIzOS05NzJCLTdGQjM1NjhCQzNDQ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DF54-1711-491D-8AF0-50D3F57C6483}">
  <sheetPr codeName="Foglio1">
    <pageSetUpPr fitToPage="1"/>
  </sheetPr>
  <dimension ref="A1:CU52"/>
  <sheetViews>
    <sheetView tabSelected="1" zoomScale="55" zoomScaleNormal="55" zoomScaleSheetLayoutView="70" workbookViewId="0">
      <pane xSplit="6" ySplit="4" topLeftCell="BV5" activePane="bottomRight" state="frozen"/>
      <selection pane="topRight" activeCell="G1" sqref="G1"/>
      <selection pane="bottomLeft" activeCell="A5" sqref="A5"/>
      <selection pane="bottomRight" activeCell="A47" activeCellId="8" sqref="A6:XFD6 A9:XFD9 A14:XFD14 A18:XFD18 A23:XFD23 A36:XFD36 A39:XFD39 A41:XFD41 A47:XFD47"/>
    </sheetView>
  </sheetViews>
  <sheetFormatPr defaultColWidth="9" defaultRowHeight="15.6" outlineLevelCol="1" x14ac:dyDescent="0.6"/>
  <cols>
    <col min="1" max="1" width="10.15625" style="7" customWidth="1"/>
    <col min="2" max="2" width="14.578125" style="152" customWidth="1"/>
    <col min="3" max="3" width="10.41796875" style="1" customWidth="1"/>
    <col min="4" max="4" width="20.83984375" style="1" customWidth="1"/>
    <col min="5" max="5" width="14.15625" style="104" customWidth="1"/>
    <col min="6" max="6" width="33.68359375" style="1" customWidth="1"/>
    <col min="7" max="7" width="9" style="7" customWidth="1"/>
    <col min="8" max="8" width="25.15625" style="104" customWidth="1"/>
    <col min="9" max="9" width="22.15625" style="1" customWidth="1" outlineLevel="1"/>
    <col min="10" max="10" width="18.68359375" style="1" customWidth="1" outlineLevel="1"/>
    <col min="11" max="11" width="14.41796875" style="1" customWidth="1" outlineLevel="1"/>
    <col min="12" max="12" width="18.83984375" style="1" customWidth="1" outlineLevel="1"/>
    <col min="13" max="14" width="19.68359375" style="1" customWidth="1" outlineLevel="1"/>
    <col min="15" max="15" width="17.83984375" style="1" customWidth="1"/>
    <col min="16" max="16" width="13.26171875" style="1" customWidth="1"/>
    <col min="17" max="18" width="16.15625" style="1" customWidth="1" outlineLevel="1"/>
    <col min="19" max="19" width="12.578125" style="1" customWidth="1" outlineLevel="1"/>
    <col min="20" max="20" width="16.15625" style="1" customWidth="1" outlineLevel="1"/>
    <col min="21" max="21" width="13.578125" style="1" customWidth="1" outlineLevel="1"/>
    <col min="22" max="24" width="16.15625" style="1" customWidth="1" outlineLevel="1"/>
    <col min="25" max="26" width="13.15625" style="1" customWidth="1" outlineLevel="1"/>
    <col min="27" max="27" width="12.41796875" style="1" customWidth="1" outlineLevel="1"/>
    <col min="28" max="28" width="13" style="1" customWidth="1" outlineLevel="1"/>
    <col min="29" max="29" width="16.15625" style="1" customWidth="1" outlineLevel="1"/>
    <col min="30" max="30" width="12.41796875" style="1" customWidth="1" outlineLevel="1"/>
    <col min="31" max="32" width="11.83984375" style="1" customWidth="1" outlineLevel="1"/>
    <col min="33" max="33" width="16.15625" style="1" customWidth="1" outlineLevel="1"/>
    <col min="34" max="34" width="16.68359375" style="1" customWidth="1" outlineLevel="1"/>
    <col min="35" max="42" width="16.15625" style="8" customWidth="1" outlineLevel="1"/>
    <col min="43" max="43" width="21" style="1" customWidth="1" outlineLevel="1"/>
    <col min="44" max="46" width="16.15625" style="1" customWidth="1"/>
    <col min="47" max="47" width="16.15625" style="6" customWidth="1"/>
    <col min="48" max="48" width="16.15625" style="1" customWidth="1"/>
    <col min="49" max="51" width="16.15625" style="8" customWidth="1"/>
    <col min="52" max="52" width="29.83984375" style="10" customWidth="1"/>
    <col min="53" max="53" width="29.15625" style="1" customWidth="1"/>
    <col min="54" max="54" width="16.15625" style="1" customWidth="1"/>
    <col min="55" max="55" width="21" style="218" customWidth="1"/>
    <col min="56" max="56" width="17.578125" style="1" customWidth="1"/>
    <col min="57" max="57" width="18.578125" style="1" customWidth="1"/>
    <col min="58" max="58" width="16.15625" style="1" customWidth="1"/>
    <col min="59" max="59" width="18.68359375" style="1" customWidth="1"/>
    <col min="60" max="60" width="16.15625" style="1" customWidth="1"/>
    <col min="61" max="62" width="13.26171875" style="1" customWidth="1"/>
    <col min="63" max="63" width="12" style="1" customWidth="1"/>
    <col min="64" max="64" width="55.26171875" style="1" bestFit="1" customWidth="1"/>
    <col min="65" max="65" width="16.15625" style="1" customWidth="1"/>
    <col min="66" max="66" width="12.578125" style="1" customWidth="1"/>
    <col min="67" max="67" width="10" style="1" customWidth="1"/>
    <col min="68" max="68" width="11" style="1" customWidth="1"/>
    <col min="69" max="69" width="60" style="1" customWidth="1"/>
    <col min="70" max="71" width="39" style="1" customWidth="1"/>
    <col min="72" max="72" width="18.83984375" style="1" customWidth="1"/>
    <col min="73" max="73" width="36.578125" style="1" customWidth="1"/>
    <col min="74" max="74" width="26.41796875" style="1" customWidth="1"/>
    <col min="75" max="75" width="4" style="1" customWidth="1"/>
    <col min="76" max="76" width="20.41796875" style="1" customWidth="1"/>
    <col min="77" max="77" width="21" style="1" customWidth="1"/>
    <col min="78" max="78" width="18.83984375" style="1" customWidth="1"/>
    <col min="79" max="79" width="3.83984375" style="1" customWidth="1"/>
    <col min="80" max="80" width="22.578125" style="150" customWidth="1"/>
    <col min="81" max="81" width="29.26171875" style="150" customWidth="1"/>
    <col min="82" max="82" width="19" style="150" customWidth="1"/>
    <col min="83" max="83" width="28.41796875" style="150" customWidth="1"/>
    <col min="84" max="84" width="18.15625" style="150" customWidth="1"/>
    <col min="85" max="85" width="116.15625" style="150" customWidth="1"/>
    <col min="86" max="86" width="13.578125" style="150" customWidth="1"/>
    <col min="87" max="87" width="66.578125" style="156" bestFit="1" customWidth="1"/>
    <col min="88" max="89" width="9" style="1" customWidth="1"/>
    <col min="90" max="90" width="16" style="1" customWidth="1"/>
    <col min="91" max="91" width="9" style="1" customWidth="1"/>
    <col min="92" max="92" width="9" style="150" hidden="1" customWidth="1"/>
    <col min="93" max="93" width="18.83984375" style="150" hidden="1" customWidth="1"/>
    <col min="94" max="94" width="19" style="150" hidden="1" customWidth="1"/>
    <col min="95" max="95" width="20.41796875" style="150" hidden="1" customWidth="1"/>
    <col min="96" max="96" width="18.15625" style="150" hidden="1" customWidth="1"/>
    <col min="97" max="97" width="60.68359375" style="150" hidden="1" customWidth="1"/>
    <col min="98" max="98" width="13.578125" style="150" hidden="1" customWidth="1"/>
    <col min="99" max="99" width="17.68359375" style="150" hidden="1" customWidth="1"/>
    <col min="100" max="16384" width="9" style="1"/>
  </cols>
  <sheetData>
    <row r="1" spans="1:99" ht="15.9" thickBot="1" x14ac:dyDescent="0.65">
      <c r="D1" s="2" t="s">
        <v>0</v>
      </c>
      <c r="E1" s="145"/>
      <c r="F1" s="64"/>
      <c r="H1" s="133"/>
      <c r="I1" s="3">
        <v>45688</v>
      </c>
      <c r="K1" s="5">
        <v>46371</v>
      </c>
      <c r="L1" s="5"/>
      <c r="AQ1" s="5"/>
      <c r="AR1" s="5"/>
      <c r="AV1" s="9"/>
      <c r="BE1" s="65"/>
    </row>
    <row r="2" spans="1:99" x14ac:dyDescent="0.6">
      <c r="D2" s="197"/>
      <c r="E2" s="198"/>
      <c r="F2" s="199"/>
      <c r="H2" s="200"/>
      <c r="I2" s="201"/>
      <c r="K2" s="5"/>
      <c r="L2" s="5"/>
      <c r="AQ2" s="5"/>
      <c r="AR2" s="5"/>
      <c r="AV2" s="9"/>
      <c r="BE2" s="65"/>
    </row>
    <row r="3" spans="1:99" s="248" customFormat="1" ht="16.8" x14ac:dyDescent="0.65">
      <c r="A3" s="248" t="s">
        <v>1</v>
      </c>
      <c r="B3" s="249"/>
      <c r="C3" s="248" t="s">
        <v>1</v>
      </c>
      <c r="D3" s="248">
        <v>1</v>
      </c>
      <c r="E3" s="250">
        <v>2</v>
      </c>
      <c r="F3" s="248">
        <v>3</v>
      </c>
      <c r="G3" s="248">
        <v>4</v>
      </c>
      <c r="H3" s="248">
        <v>5</v>
      </c>
      <c r="I3" s="248">
        <v>6</v>
      </c>
      <c r="J3" s="248">
        <v>7</v>
      </c>
      <c r="K3" s="250">
        <v>8</v>
      </c>
      <c r="L3" s="248">
        <v>9</v>
      </c>
      <c r="M3" s="248">
        <v>10</v>
      </c>
      <c r="N3" s="248">
        <v>11</v>
      </c>
      <c r="O3" s="248">
        <v>12</v>
      </c>
      <c r="P3" s="248">
        <v>13</v>
      </c>
      <c r="Q3" s="248">
        <v>14</v>
      </c>
      <c r="R3" s="250">
        <v>15</v>
      </c>
      <c r="S3" s="248">
        <v>16</v>
      </c>
      <c r="T3" s="248">
        <v>17</v>
      </c>
      <c r="U3" s="248">
        <v>18</v>
      </c>
      <c r="V3" s="248">
        <v>19</v>
      </c>
      <c r="W3" s="248">
        <v>20</v>
      </c>
      <c r="X3" s="250">
        <v>21</v>
      </c>
      <c r="Y3" s="248">
        <v>22</v>
      </c>
      <c r="Z3" s="248">
        <v>23</v>
      </c>
      <c r="AA3" s="248">
        <v>24</v>
      </c>
      <c r="AB3" s="248">
        <v>25</v>
      </c>
      <c r="AC3" s="248">
        <v>26</v>
      </c>
      <c r="AD3" s="248">
        <v>27</v>
      </c>
      <c r="AE3" s="250">
        <v>28</v>
      </c>
      <c r="AF3" s="248">
        <v>29</v>
      </c>
      <c r="AG3" s="248">
        <v>30</v>
      </c>
      <c r="AH3" s="248">
        <v>31</v>
      </c>
      <c r="AI3" s="248">
        <v>32</v>
      </c>
      <c r="AJ3" s="248">
        <v>33</v>
      </c>
      <c r="AK3" s="250">
        <v>34</v>
      </c>
      <c r="AL3" s="248">
        <v>35</v>
      </c>
      <c r="AM3" s="248">
        <v>36</v>
      </c>
      <c r="AN3" s="248">
        <v>37</v>
      </c>
      <c r="AO3" s="248">
        <v>38</v>
      </c>
      <c r="AP3" s="248">
        <v>39</v>
      </c>
      <c r="AQ3" s="248">
        <v>40</v>
      </c>
      <c r="AR3" s="250">
        <v>41</v>
      </c>
      <c r="AS3" s="248">
        <v>42</v>
      </c>
      <c r="AT3" s="248">
        <v>43</v>
      </c>
      <c r="AU3" s="248">
        <v>44</v>
      </c>
      <c r="AV3" s="248">
        <v>45</v>
      </c>
      <c r="AW3" s="248">
        <v>46</v>
      </c>
      <c r="AX3" s="250">
        <v>47</v>
      </c>
      <c r="AY3" s="248">
        <v>48</v>
      </c>
      <c r="AZ3" s="248">
        <v>49</v>
      </c>
      <c r="BA3" s="248">
        <v>50</v>
      </c>
      <c r="BB3" s="248">
        <v>51</v>
      </c>
      <c r="BC3" s="248">
        <v>52</v>
      </c>
      <c r="BD3" s="248">
        <v>53</v>
      </c>
      <c r="BE3" s="250">
        <v>54</v>
      </c>
      <c r="BF3" s="248">
        <v>55</v>
      </c>
      <c r="BG3" s="248">
        <v>56</v>
      </c>
      <c r="BH3" s="248">
        <v>57</v>
      </c>
      <c r="BI3" s="248">
        <v>58</v>
      </c>
      <c r="BJ3" s="248">
        <v>59</v>
      </c>
      <c r="BK3" s="250">
        <v>60</v>
      </c>
      <c r="BL3" s="248">
        <v>61</v>
      </c>
      <c r="BM3" s="248">
        <v>62</v>
      </c>
      <c r="BN3" s="248">
        <v>63</v>
      </c>
      <c r="BO3" s="248">
        <v>64</v>
      </c>
      <c r="BP3" s="248">
        <v>65</v>
      </c>
      <c r="BQ3" s="248">
        <v>66</v>
      </c>
      <c r="BR3" s="250">
        <v>67</v>
      </c>
      <c r="BS3" s="248">
        <v>68</v>
      </c>
      <c r="BT3" s="248">
        <v>69</v>
      </c>
      <c r="BU3" s="248">
        <v>70</v>
      </c>
      <c r="BV3" s="248">
        <v>71</v>
      </c>
      <c r="BW3" s="248">
        <v>72</v>
      </c>
      <c r="BX3" s="250">
        <v>73</v>
      </c>
      <c r="BY3" s="248">
        <v>74</v>
      </c>
      <c r="BZ3" s="248">
        <v>75</v>
      </c>
      <c r="CA3" s="248">
        <v>76</v>
      </c>
      <c r="CB3" s="248">
        <v>77</v>
      </c>
      <c r="CC3" s="248">
        <v>78</v>
      </c>
      <c r="CD3" s="248">
        <v>79</v>
      </c>
      <c r="CE3" s="250">
        <v>80</v>
      </c>
      <c r="CF3" s="248">
        <v>81</v>
      </c>
      <c r="CG3" s="248">
        <v>82</v>
      </c>
      <c r="CH3" s="248">
        <v>83</v>
      </c>
      <c r="CI3" s="248">
        <v>84</v>
      </c>
      <c r="CN3" s="156"/>
      <c r="CO3" s="156"/>
      <c r="CP3" s="156"/>
      <c r="CQ3" s="156"/>
      <c r="CR3" s="156"/>
      <c r="CS3" s="156"/>
      <c r="CT3" s="156"/>
      <c r="CU3" s="156"/>
    </row>
    <row r="4" spans="1:99" s="141" customFormat="1" ht="73.5" customHeight="1" x14ac:dyDescent="0.55000000000000004">
      <c r="A4" s="4" t="s">
        <v>2</v>
      </c>
      <c r="B4" s="12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23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23" t="s">
        <v>13</v>
      </c>
      <c r="M4" s="123" t="s">
        <v>14</v>
      </c>
      <c r="N4" s="123"/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4" t="s">
        <v>23</v>
      </c>
      <c r="X4" s="4" t="s">
        <v>24</v>
      </c>
      <c r="Y4" s="11" t="s">
        <v>25</v>
      </c>
      <c r="Z4" s="11" t="s">
        <v>26</v>
      </c>
      <c r="AA4" s="63" t="s">
        <v>27</v>
      </c>
      <c r="AB4" s="4" t="s">
        <v>28</v>
      </c>
      <c r="AC4" s="11" t="s">
        <v>29</v>
      </c>
      <c r="AD4" s="11" t="s">
        <v>30</v>
      </c>
      <c r="AE4" s="63" t="s">
        <v>31</v>
      </c>
      <c r="AF4" s="63" t="s">
        <v>32</v>
      </c>
      <c r="AG4" s="4" t="s">
        <v>33</v>
      </c>
      <c r="AH4" s="4" t="s">
        <v>34</v>
      </c>
      <c r="AI4" s="12" t="s">
        <v>35</v>
      </c>
      <c r="AJ4" s="13" t="s">
        <v>36</v>
      </c>
      <c r="AK4" s="13" t="s">
        <v>37</v>
      </c>
      <c r="AL4" s="13" t="s">
        <v>38</v>
      </c>
      <c r="AM4" s="13" t="s">
        <v>39</v>
      </c>
      <c r="AN4" s="13" t="s">
        <v>40</v>
      </c>
      <c r="AO4" s="13" t="s">
        <v>41</v>
      </c>
      <c r="AP4" s="4" t="s">
        <v>42</v>
      </c>
      <c r="AQ4" s="4" t="s">
        <v>43</v>
      </c>
      <c r="AR4" s="4" t="s">
        <v>44</v>
      </c>
      <c r="AS4" s="4" t="s">
        <v>45</v>
      </c>
      <c r="AT4" s="14" t="s">
        <v>46</v>
      </c>
      <c r="AU4" s="14" t="s">
        <v>47</v>
      </c>
      <c r="AV4" s="4" t="s">
        <v>48</v>
      </c>
      <c r="AW4" s="4" t="s">
        <v>49</v>
      </c>
      <c r="AX4" s="123" t="s">
        <v>50</v>
      </c>
      <c r="AY4" s="123" t="s">
        <v>51</v>
      </c>
      <c r="AZ4" s="11" t="s">
        <v>52</v>
      </c>
      <c r="BA4" s="11" t="s">
        <v>53</v>
      </c>
      <c r="BB4" s="123" t="s">
        <v>54</v>
      </c>
      <c r="BC4" s="219" t="s">
        <v>55</v>
      </c>
      <c r="BD4" s="4" t="s">
        <v>56</v>
      </c>
      <c r="BE4" s="4" t="s">
        <v>57</v>
      </c>
      <c r="BF4" s="4" t="s">
        <v>58</v>
      </c>
      <c r="BG4" s="4" t="s">
        <v>59</v>
      </c>
      <c r="BH4" s="4" t="s">
        <v>60</v>
      </c>
      <c r="BI4" s="4" t="s">
        <v>61</v>
      </c>
      <c r="BJ4" s="4" t="s">
        <v>62</v>
      </c>
      <c r="BK4" s="4" t="s">
        <v>63</v>
      </c>
      <c r="BL4" s="4" t="s">
        <v>64</v>
      </c>
      <c r="BM4" s="68" t="s">
        <v>65</v>
      </c>
      <c r="BN4" s="78" t="s">
        <v>66</v>
      </c>
      <c r="BO4" s="79" t="s">
        <v>67</v>
      </c>
      <c r="BP4" s="73" t="s">
        <v>68</v>
      </c>
      <c r="BQ4" s="74" t="s">
        <v>69</v>
      </c>
      <c r="BR4" s="4" t="s">
        <v>70</v>
      </c>
      <c r="BS4" s="4" t="s">
        <v>71</v>
      </c>
      <c r="BT4" s="4" t="s">
        <v>72</v>
      </c>
      <c r="BU4" s="4" t="s">
        <v>73</v>
      </c>
      <c r="BV4" s="4" t="s">
        <v>74</v>
      </c>
      <c r="BX4" s="144" t="s">
        <v>16</v>
      </c>
      <c r="BY4" s="144" t="s">
        <v>75</v>
      </c>
      <c r="BZ4" s="144" t="s">
        <v>76</v>
      </c>
      <c r="CB4" s="157" t="s">
        <v>77</v>
      </c>
      <c r="CC4" s="157" t="s">
        <v>78</v>
      </c>
      <c r="CD4" s="158" t="s">
        <v>79</v>
      </c>
      <c r="CE4" s="157" t="s">
        <v>80</v>
      </c>
      <c r="CF4" s="157" t="s">
        <v>81</v>
      </c>
      <c r="CG4" s="157" t="s">
        <v>82</v>
      </c>
      <c r="CH4" s="157" t="s">
        <v>83</v>
      </c>
      <c r="CI4" s="157" t="s">
        <v>84</v>
      </c>
      <c r="CK4" s="155" t="s">
        <v>85</v>
      </c>
      <c r="CL4" s="154" t="s">
        <v>86</v>
      </c>
      <c r="CN4" s="157" t="s">
        <v>87</v>
      </c>
      <c r="CO4" s="157" t="s">
        <v>88</v>
      </c>
      <c r="CP4" s="158" t="s">
        <v>79</v>
      </c>
      <c r="CQ4" s="157" t="s">
        <v>89</v>
      </c>
      <c r="CR4" s="157" t="s">
        <v>81</v>
      </c>
      <c r="CS4" s="157" t="s">
        <v>82</v>
      </c>
      <c r="CT4" s="157" t="s">
        <v>83</v>
      </c>
      <c r="CU4" s="157" t="s">
        <v>84</v>
      </c>
    </row>
    <row r="5" spans="1:99" ht="60.4" customHeight="1" x14ac:dyDescent="0.45">
      <c r="A5" s="15" t="s">
        <v>90</v>
      </c>
      <c r="B5" s="66" t="s">
        <v>91</v>
      </c>
      <c r="C5" s="15" t="s">
        <v>92</v>
      </c>
      <c r="D5" s="16" t="s">
        <v>93</v>
      </c>
      <c r="E5" s="138" t="s">
        <v>94</v>
      </c>
      <c r="F5" s="59" t="s">
        <v>95</v>
      </c>
      <c r="G5" s="15" t="s">
        <v>96</v>
      </c>
      <c r="H5" s="16" t="s">
        <v>97</v>
      </c>
      <c r="I5" s="18" t="s">
        <v>98</v>
      </c>
      <c r="J5" s="18" t="s">
        <v>99</v>
      </c>
      <c r="K5" s="18" t="s">
        <v>100</v>
      </c>
      <c r="L5" s="18" t="s">
        <v>101</v>
      </c>
      <c r="M5" s="17" t="s">
        <v>102</v>
      </c>
      <c r="N5" s="17"/>
      <c r="O5" s="19">
        <v>431906240.06</v>
      </c>
      <c r="P5" s="19"/>
      <c r="Q5" s="20">
        <v>43090</v>
      </c>
      <c r="R5" s="19"/>
      <c r="S5" s="19"/>
      <c r="T5" s="21"/>
      <c r="U5" s="21"/>
      <c r="V5" s="21"/>
      <c r="W5" s="21"/>
      <c r="X5" s="21" t="s">
        <v>103</v>
      </c>
      <c r="Y5" s="22" t="e">
        <f>+(X5-Q5)/30.4</f>
        <v>#VALUE!</v>
      </c>
      <c r="Z5" s="22"/>
      <c r="AA5" s="22" t="e">
        <f>+(X5-R5)/30.4</f>
        <v>#VALUE!</v>
      </c>
      <c r="AB5" s="21">
        <v>43424</v>
      </c>
      <c r="AC5" s="22">
        <f t="shared" ref="AC5:AC9" si="0">+(AB5-Q5)/30.4</f>
        <v>10.986842105263158</v>
      </c>
      <c r="AD5" s="22"/>
      <c r="AE5" s="22"/>
      <c r="AF5" s="22"/>
      <c r="AG5" s="22"/>
      <c r="AH5" s="21">
        <v>43424</v>
      </c>
      <c r="AI5" s="23">
        <f t="shared" ref="AI5:AI10" si="1">+(AH5-AB5)/30.4</f>
        <v>0</v>
      </c>
      <c r="AJ5" s="23">
        <f>+AI5+AE5</f>
        <v>0</v>
      </c>
      <c r="AK5" s="23"/>
      <c r="AL5" s="23"/>
      <c r="AM5" s="23"/>
      <c r="AN5" s="23"/>
      <c r="AO5" s="23"/>
      <c r="AP5" s="23"/>
      <c r="AQ5" s="22">
        <v>2940</v>
      </c>
      <c r="AR5" s="20">
        <v>45278</v>
      </c>
      <c r="AS5" s="21">
        <v>46364</v>
      </c>
      <c r="AT5" s="24">
        <v>44933</v>
      </c>
      <c r="AU5" s="24">
        <v>46068</v>
      </c>
      <c r="AV5" s="25">
        <v>46364</v>
      </c>
      <c r="AW5" s="26">
        <v>46068</v>
      </c>
      <c r="AX5" s="124">
        <v>4</v>
      </c>
      <c r="AY5" s="124">
        <v>1275</v>
      </c>
      <c r="AZ5" s="27" t="s">
        <v>104</v>
      </c>
      <c r="BA5" s="28"/>
      <c r="BB5" s="37">
        <v>45839</v>
      </c>
      <c r="BC5" s="29" t="s">
        <v>105</v>
      </c>
      <c r="BD5" s="29">
        <f>BE5+7555073.6</f>
        <v>361789734.42066723</v>
      </c>
      <c r="BE5" s="29">
        <v>354234660.82066721</v>
      </c>
      <c r="BF5" s="30">
        <f>(BB5-AH5)/(AQ5)</f>
        <v>0.8214285714285714</v>
      </c>
      <c r="BG5" s="31">
        <f t="shared" ref="BG5:BG8" si="2">BD5/O5</f>
        <v>0.83765803978754216</v>
      </c>
      <c r="BH5" s="31">
        <f t="shared" ref="BH5:BH9" si="3">BE5/O5</f>
        <v>0.82016564699657335</v>
      </c>
      <c r="BI5" s="31">
        <f>BH5-BG5</f>
        <v>-1.7492392790968814E-2</v>
      </c>
      <c r="BJ5" s="32">
        <f>IF(AV5="",0,(AV5-AS5)/30.4)</f>
        <v>0</v>
      </c>
      <c r="BK5" s="32">
        <f>IF(AW5="",0,(AW5-AU5)/30.4)</f>
        <v>0</v>
      </c>
      <c r="BL5" s="33" t="s">
        <v>106</v>
      </c>
      <c r="BM5" s="76">
        <f>+(IF(AW5="",AU5-$K$1,AW5-$K$1))/30.4</f>
        <v>-9.9671052631578956</v>
      </c>
      <c r="BN5" s="75" t="str">
        <f>+IF(AW5="",IF(AU5&lt;=BO5,"SI","FUORI"),IF(AW5&lt;=BO5,"SI","FUORI"))</f>
        <v>SI</v>
      </c>
      <c r="BO5" s="69">
        <v>46068</v>
      </c>
      <c r="BP5" s="69"/>
      <c r="BQ5" s="70"/>
      <c r="BR5" s="105" t="s">
        <v>107</v>
      </c>
      <c r="BS5" s="105"/>
      <c r="BT5" s="103" t="s">
        <v>108</v>
      </c>
      <c r="BU5" s="103" t="s">
        <v>109</v>
      </c>
      <c r="BV5" s="103" t="s">
        <v>110</v>
      </c>
      <c r="BX5" s="148">
        <v>340830729.90000004</v>
      </c>
      <c r="BY5" s="148">
        <v>251935901.46000001</v>
      </c>
      <c r="BZ5" s="148">
        <v>256620091.16811609</v>
      </c>
      <c r="CB5" s="159">
        <v>406644340</v>
      </c>
      <c r="CC5" s="159">
        <v>361789734.42066723</v>
      </c>
      <c r="CD5" s="159">
        <v>13926403</v>
      </c>
      <c r="CE5" s="159">
        <v>354234660.82066721</v>
      </c>
      <c r="CF5" s="182"/>
      <c r="CG5" s="160" t="s">
        <v>111</v>
      </c>
      <c r="CH5" s="161">
        <v>15.5</v>
      </c>
      <c r="CI5" s="161" t="s">
        <v>112</v>
      </c>
      <c r="CK5" s="153">
        <f>+BB5</f>
        <v>45839</v>
      </c>
      <c r="CL5" s="151">
        <f>+O5</f>
        <v>431906240.06</v>
      </c>
      <c r="CN5" s="204">
        <f>+CB5/1000000</f>
        <v>406.64434</v>
      </c>
      <c r="CO5" s="204">
        <f t="shared" ref="CO5:CQ5" si="4">+CC5/1000000</f>
        <v>361.78973442066723</v>
      </c>
      <c r="CP5" s="204">
        <f t="shared" si="4"/>
        <v>13.926403000000001</v>
      </c>
      <c r="CQ5" s="204">
        <f t="shared" si="4"/>
        <v>354.23466082066722</v>
      </c>
      <c r="CR5" s="182"/>
      <c r="CS5" s="160"/>
      <c r="CT5" s="161">
        <v>15.5</v>
      </c>
      <c r="CU5" s="161" t="s">
        <v>112</v>
      </c>
    </row>
    <row r="6" spans="1:99" ht="46.8" x14ac:dyDescent="0.6">
      <c r="A6" s="15" t="s">
        <v>90</v>
      </c>
      <c r="B6" s="66" t="s">
        <v>114</v>
      </c>
      <c r="C6" s="15" t="s">
        <v>92</v>
      </c>
      <c r="D6" s="138" t="s">
        <v>115</v>
      </c>
      <c r="E6" s="138" t="s">
        <v>94</v>
      </c>
      <c r="F6" s="59" t="s">
        <v>116</v>
      </c>
      <c r="G6" s="15" t="s">
        <v>96</v>
      </c>
      <c r="H6" s="16" t="s">
        <v>97</v>
      </c>
      <c r="I6" s="18" t="s">
        <v>98</v>
      </c>
      <c r="J6" s="18" t="s">
        <v>113</v>
      </c>
      <c r="K6" s="18" t="s">
        <v>100</v>
      </c>
      <c r="L6" s="18" t="s">
        <v>117</v>
      </c>
      <c r="M6" s="17" t="s">
        <v>118</v>
      </c>
      <c r="N6" s="17"/>
      <c r="O6" s="19">
        <v>225582761</v>
      </c>
      <c r="P6" s="19"/>
      <c r="Q6" s="20">
        <v>43689</v>
      </c>
      <c r="R6" s="19"/>
      <c r="S6" s="19"/>
      <c r="T6" s="21"/>
      <c r="U6" s="21"/>
      <c r="V6" s="21"/>
      <c r="W6" s="21"/>
      <c r="X6" s="21" t="s">
        <v>103</v>
      </c>
      <c r="Y6" s="22" t="e">
        <f t="shared" ref="Y6:Y29" si="5">+(X6-Q6)/30.4</f>
        <v>#VALUE!</v>
      </c>
      <c r="Z6" s="22"/>
      <c r="AA6" s="22" t="e">
        <f>+(X6-R6)/30.4</f>
        <v>#VALUE!</v>
      </c>
      <c r="AB6" s="21">
        <v>44172</v>
      </c>
      <c r="AC6" s="22">
        <f t="shared" si="0"/>
        <v>15.888157894736842</v>
      </c>
      <c r="AD6" s="22"/>
      <c r="AE6" s="22"/>
      <c r="AF6" s="22"/>
      <c r="AG6" s="22"/>
      <c r="AH6" s="21">
        <v>44326</v>
      </c>
      <c r="AI6" s="23">
        <f t="shared" si="1"/>
        <v>5.0657894736842106</v>
      </c>
      <c r="AJ6" s="23">
        <f t="shared" ref="AJ6:AJ31" si="6">+AI6+AE6</f>
        <v>5.0657894736842106</v>
      </c>
      <c r="AK6" s="23"/>
      <c r="AL6" s="23"/>
      <c r="AM6" s="23"/>
      <c r="AN6" s="23"/>
      <c r="AO6" s="23"/>
      <c r="AP6" s="23"/>
      <c r="AQ6" s="22">
        <v>1550</v>
      </c>
      <c r="AR6" s="21">
        <v>45875</v>
      </c>
      <c r="AS6" s="21">
        <v>46615</v>
      </c>
      <c r="AT6" s="24">
        <v>45995</v>
      </c>
      <c r="AU6" s="34">
        <v>46735</v>
      </c>
      <c r="AV6" s="25">
        <v>46615</v>
      </c>
      <c r="AW6" s="26">
        <v>46735</v>
      </c>
      <c r="AX6" s="124">
        <v>2</v>
      </c>
      <c r="AY6" s="124">
        <v>740</v>
      </c>
      <c r="AZ6" s="27" t="s">
        <v>119</v>
      </c>
      <c r="BA6" s="28" t="s">
        <v>120</v>
      </c>
      <c r="BB6" s="37">
        <v>45900</v>
      </c>
      <c r="BC6" s="29">
        <v>978723.73</v>
      </c>
      <c r="BD6" s="29">
        <v>157995372</v>
      </c>
      <c r="BE6" s="29">
        <v>138035426.97999999</v>
      </c>
      <c r="BF6" s="30">
        <f t="shared" ref="BF6:BF13" si="7">(BB6-AH6)/(AQ6)</f>
        <v>1.0154838709677418</v>
      </c>
      <c r="BG6" s="31">
        <f t="shared" si="2"/>
        <v>0.7003876151688736</v>
      </c>
      <c r="BH6" s="31">
        <f t="shared" si="3"/>
        <v>0.61190592032872582</v>
      </c>
      <c r="BI6" s="31">
        <f t="shared" ref="BI6:BI8" si="8">BH6-BG6</f>
        <v>-8.8481694840147784E-2</v>
      </c>
      <c r="BJ6" s="32">
        <f t="shared" ref="BJ6" si="9">IF(AV6="",0,(AV6-AS6)/30.4)</f>
        <v>0</v>
      </c>
      <c r="BK6" s="32">
        <f t="shared" ref="BK6" si="10">IF(AW6="",0,(AW6-AU6)/30.4)</f>
        <v>0</v>
      </c>
      <c r="BL6" s="33" t="s">
        <v>121</v>
      </c>
      <c r="BM6" s="76">
        <f>+(IF(AW6="",AT6-$K$1,AW6-$K$1))/30.4</f>
        <v>11.973684210526317</v>
      </c>
      <c r="BN6" s="75" t="str">
        <f t="shared" ref="BN6:BN32" si="11">+IF(AW6="",IF(AU6&lt;=BO6,"SI","FUORI"),IF(AW6&lt;=BO6,"SI","FUORI"))</f>
        <v>FUORI</v>
      </c>
      <c r="BO6" s="71">
        <v>45838</v>
      </c>
      <c r="BP6" s="90" t="s">
        <v>122</v>
      </c>
      <c r="BQ6" s="72" t="s">
        <v>123</v>
      </c>
      <c r="BR6" s="103" t="s">
        <v>124</v>
      </c>
      <c r="BS6" s="103"/>
      <c r="BT6" s="103" t="s">
        <v>125</v>
      </c>
      <c r="BU6" s="107" t="s">
        <v>126</v>
      </c>
      <c r="BV6" s="103" t="s">
        <v>127</v>
      </c>
      <c r="BX6" s="148">
        <v>202297250.18000004</v>
      </c>
      <c r="BY6" s="148">
        <v>201353575</v>
      </c>
      <c r="BZ6" s="148">
        <v>126805569</v>
      </c>
      <c r="CB6" s="162"/>
      <c r="CC6" s="162"/>
      <c r="CD6" s="162"/>
      <c r="CE6" s="162"/>
      <c r="CF6" s="162"/>
      <c r="CG6" s="163" t="s">
        <v>128</v>
      </c>
      <c r="CH6" s="168">
        <v>11</v>
      </c>
      <c r="CI6" s="189" t="s">
        <v>129</v>
      </c>
      <c r="CK6" s="153">
        <f t="shared" ref="CK6:CK7" si="12">+BB6</f>
        <v>45900</v>
      </c>
      <c r="CL6" s="151">
        <f t="shared" ref="CL6:CL7" si="13">+O6</f>
        <v>225582761</v>
      </c>
      <c r="CN6" s="162"/>
      <c r="CO6" s="162"/>
      <c r="CP6" s="162"/>
      <c r="CQ6" s="162"/>
      <c r="CR6" s="162"/>
      <c r="CS6" s="163" t="s">
        <v>128</v>
      </c>
      <c r="CT6" s="168">
        <v>11</v>
      </c>
      <c r="CU6" s="189" t="s">
        <v>129</v>
      </c>
    </row>
    <row r="7" spans="1:99" ht="53.25" customHeight="1" x14ac:dyDescent="0.55000000000000004">
      <c r="A7" s="15" t="s">
        <v>90</v>
      </c>
      <c r="B7" s="66" t="s">
        <v>130</v>
      </c>
      <c r="C7" s="15" t="s">
        <v>92</v>
      </c>
      <c r="D7" s="16" t="s">
        <v>131</v>
      </c>
      <c r="E7" s="138" t="s">
        <v>94</v>
      </c>
      <c r="F7" s="59" t="s">
        <v>132</v>
      </c>
      <c r="G7" s="15" t="s">
        <v>133</v>
      </c>
      <c r="H7" s="16" t="s">
        <v>97</v>
      </c>
      <c r="I7" s="18" t="s">
        <v>98</v>
      </c>
      <c r="J7" s="18" t="s">
        <v>134</v>
      </c>
      <c r="K7" s="18" t="s">
        <v>100</v>
      </c>
      <c r="L7" s="18" t="s">
        <v>135</v>
      </c>
      <c r="M7" s="17" t="s">
        <v>136</v>
      </c>
      <c r="N7" s="17"/>
      <c r="O7" s="19">
        <v>501033228.48000002</v>
      </c>
      <c r="P7" s="19"/>
      <c r="Q7" s="109">
        <v>44169</v>
      </c>
      <c r="R7" s="108"/>
      <c r="S7" s="108"/>
      <c r="T7" s="109">
        <f>+Q7+270+90</f>
        <v>44529</v>
      </c>
      <c r="U7" s="109"/>
      <c r="V7" s="109"/>
      <c r="W7" s="109"/>
      <c r="X7" s="20" t="s">
        <v>103</v>
      </c>
      <c r="Y7" s="111" t="e">
        <f>+(X7-Q7)/30.4</f>
        <v>#VALUE!</v>
      </c>
      <c r="Z7" s="111"/>
      <c r="AA7" s="111" t="e">
        <f>+(X7-R7)/30.4</f>
        <v>#VALUE!</v>
      </c>
      <c r="AB7" s="20">
        <v>44553</v>
      </c>
      <c r="AC7" s="111">
        <f t="shared" si="0"/>
        <v>12.631578947368421</v>
      </c>
      <c r="AD7" s="111"/>
      <c r="AE7" s="111">
        <f>+(AB7-T7)/30.4</f>
        <v>0.78947368421052633</v>
      </c>
      <c r="AF7" s="111"/>
      <c r="AG7" s="109"/>
      <c r="AH7" s="109" t="s">
        <v>137</v>
      </c>
      <c r="AI7" s="112">
        <f t="shared" si="1"/>
        <v>8.75</v>
      </c>
      <c r="AJ7" s="112">
        <f>+AI7+AE7</f>
        <v>9.5394736842105257</v>
      </c>
      <c r="AK7" s="112"/>
      <c r="AL7" s="112"/>
      <c r="AM7" s="112"/>
      <c r="AN7" s="112"/>
      <c r="AO7" s="112"/>
      <c r="AP7" s="22">
        <v>1945</v>
      </c>
      <c r="AQ7" s="22">
        <v>2190</v>
      </c>
      <c r="AR7" s="20">
        <v>46764</v>
      </c>
      <c r="AS7" s="21">
        <v>47008</v>
      </c>
      <c r="AT7" s="24">
        <v>46139</v>
      </c>
      <c r="AU7" s="24">
        <v>46173</v>
      </c>
      <c r="AV7" s="21"/>
      <c r="AW7" s="21">
        <v>46173</v>
      </c>
      <c r="AX7" s="125">
        <v>1</v>
      </c>
      <c r="AY7" s="125"/>
      <c r="AZ7" s="28" t="s">
        <v>138</v>
      </c>
      <c r="BA7" s="28"/>
      <c r="BB7" s="37">
        <v>45901</v>
      </c>
      <c r="BC7" s="19">
        <v>13786157</v>
      </c>
      <c r="BD7" s="19">
        <v>198408061.84999999</v>
      </c>
      <c r="BE7" s="19">
        <v>194680132.11000001</v>
      </c>
      <c r="BF7" s="30">
        <f>(BB7-AH7)/(AQ7)</f>
        <v>0.49406392694063928</v>
      </c>
      <c r="BG7" s="31">
        <f>BD7/O7</f>
        <v>0.39599781126676298</v>
      </c>
      <c r="BH7" s="31">
        <f t="shared" si="3"/>
        <v>0.3885573272267932</v>
      </c>
      <c r="BI7" s="31">
        <f>BH7-BG7</f>
        <v>-7.4404840399697747E-3</v>
      </c>
      <c r="BJ7" s="32">
        <f>IF(AV7="",0,(AV7-AS7)/30.4)</f>
        <v>0</v>
      </c>
      <c r="BK7" s="32">
        <f>IF(AW7="",0,(AW7-AT7)/30.4)</f>
        <v>1.118421052631579</v>
      </c>
      <c r="BL7" s="33"/>
      <c r="BM7" s="76">
        <f>+(IF(AW7="",AT7-$K$1,AW7-$K$1))/30.4</f>
        <v>-6.5131578947368425</v>
      </c>
      <c r="BN7" s="113" t="s">
        <v>139</v>
      </c>
      <c r="BO7" s="71">
        <v>46783</v>
      </c>
      <c r="BP7" s="71" t="s">
        <v>140</v>
      </c>
      <c r="BQ7" s="72"/>
      <c r="BR7" s="114" t="s">
        <v>141</v>
      </c>
      <c r="BS7" s="114"/>
      <c r="BT7" s="115" t="s">
        <v>125</v>
      </c>
      <c r="BU7" s="115" t="s">
        <v>109</v>
      </c>
      <c r="BV7" s="107" t="s">
        <v>127</v>
      </c>
      <c r="BX7" s="147">
        <v>418621602.20999998</v>
      </c>
      <c r="BY7" s="147">
        <v>198007212.21000001</v>
      </c>
      <c r="BZ7" s="147">
        <v>191955297.52000001</v>
      </c>
      <c r="CB7" s="159">
        <v>433739707</v>
      </c>
      <c r="CC7" s="159">
        <v>307063444</v>
      </c>
      <c r="CD7" s="159"/>
      <c r="CE7" s="159">
        <v>279520000</v>
      </c>
      <c r="CF7" s="183"/>
      <c r="CG7" s="184" t="s">
        <v>142</v>
      </c>
      <c r="CH7" s="164">
        <v>19</v>
      </c>
      <c r="CI7" s="189" t="s">
        <v>129</v>
      </c>
      <c r="CK7" s="153">
        <f t="shared" si="12"/>
        <v>45901</v>
      </c>
      <c r="CL7" s="151">
        <f t="shared" si="13"/>
        <v>501033228.48000002</v>
      </c>
      <c r="CN7" s="204">
        <f>+CB7/1000000</f>
        <v>433.73970700000001</v>
      </c>
      <c r="CO7" s="204">
        <f t="shared" ref="CO7:CQ7" si="14">+CC7/1000000</f>
        <v>307.063444</v>
      </c>
      <c r="CP7" s="204">
        <f t="shared" si="14"/>
        <v>0</v>
      </c>
      <c r="CQ7" s="204">
        <f t="shared" si="14"/>
        <v>279.52</v>
      </c>
      <c r="CR7" s="183"/>
      <c r="CS7" s="184" t="s">
        <v>142</v>
      </c>
      <c r="CT7" s="164">
        <v>19</v>
      </c>
      <c r="CU7" s="189" t="s">
        <v>129</v>
      </c>
    </row>
    <row r="8" spans="1:99" ht="55.15" customHeight="1" x14ac:dyDescent="0.6">
      <c r="A8" s="15" t="s">
        <v>90</v>
      </c>
      <c r="B8" s="66" t="s">
        <v>146</v>
      </c>
      <c r="C8" s="15" t="s">
        <v>92</v>
      </c>
      <c r="D8" s="16" t="s">
        <v>147</v>
      </c>
      <c r="E8" s="16" t="s">
        <v>97</v>
      </c>
      <c r="F8" s="59" t="s">
        <v>148</v>
      </c>
      <c r="G8" s="15" t="s">
        <v>96</v>
      </c>
      <c r="H8" s="16" t="s">
        <v>94</v>
      </c>
      <c r="I8" s="18" t="s">
        <v>149</v>
      </c>
      <c r="J8" s="18" t="s">
        <v>150</v>
      </c>
      <c r="K8" s="18" t="s">
        <v>100</v>
      </c>
      <c r="L8" s="18" t="s">
        <v>151</v>
      </c>
      <c r="M8" s="17" t="s">
        <v>152</v>
      </c>
      <c r="N8" s="17"/>
      <c r="O8" s="19">
        <v>959118911.36000001</v>
      </c>
      <c r="P8" s="19"/>
      <c r="Q8" s="20">
        <v>44392</v>
      </c>
      <c r="R8" s="38"/>
      <c r="S8" s="38"/>
      <c r="T8" s="20">
        <f>+Q8+270</f>
        <v>44662</v>
      </c>
      <c r="U8" s="20"/>
      <c r="V8" s="21"/>
      <c r="W8" s="21"/>
      <c r="X8" s="21" t="s">
        <v>103</v>
      </c>
      <c r="Y8" s="22"/>
      <c r="Z8" s="22"/>
      <c r="AA8" s="22"/>
      <c r="AB8" s="21">
        <v>45177</v>
      </c>
      <c r="AC8" s="22">
        <f t="shared" si="0"/>
        <v>25.822368421052634</v>
      </c>
      <c r="AD8" s="22"/>
      <c r="AE8" s="22">
        <f>+(AB8-T8)/30.4</f>
        <v>16.940789473684212</v>
      </c>
      <c r="AF8" s="22"/>
      <c r="AG8" s="22"/>
      <c r="AH8" s="21">
        <v>45177</v>
      </c>
      <c r="AI8" s="23">
        <f t="shared" si="1"/>
        <v>0</v>
      </c>
      <c r="AJ8" s="23">
        <f t="shared" si="6"/>
        <v>16.940789473684212</v>
      </c>
      <c r="AK8" s="23"/>
      <c r="AL8" s="23"/>
      <c r="AM8" s="23"/>
      <c r="AN8" s="23"/>
      <c r="AO8" s="23"/>
      <c r="AP8" s="36">
        <v>1940</v>
      </c>
      <c r="AQ8" s="36">
        <f>AS8-AH8</f>
        <v>2079</v>
      </c>
      <c r="AR8" s="20">
        <v>47116</v>
      </c>
      <c r="AS8" s="21">
        <v>47256</v>
      </c>
      <c r="AT8" s="24">
        <f>+AS8+150</f>
        <v>47406</v>
      </c>
      <c r="AU8" s="24">
        <f>AT8</f>
        <v>47406</v>
      </c>
      <c r="AV8" s="21">
        <v>47766</v>
      </c>
      <c r="AW8" s="26">
        <v>47412</v>
      </c>
      <c r="AX8" s="124">
        <v>0</v>
      </c>
      <c r="AY8" s="124">
        <v>0</v>
      </c>
      <c r="AZ8" s="35" t="s">
        <v>153</v>
      </c>
      <c r="BA8" s="28"/>
      <c r="BB8" s="37">
        <v>45930</v>
      </c>
      <c r="BC8" s="19">
        <v>2327317.4899999998</v>
      </c>
      <c r="BD8" s="19">
        <v>183796687.90000001</v>
      </c>
      <c r="BE8" s="19">
        <v>35228787.448720351</v>
      </c>
      <c r="BF8" s="30">
        <f>(BB8-AH8)/(AQ8)</f>
        <v>0.36219336219336218</v>
      </c>
      <c r="BG8" s="31">
        <f t="shared" si="2"/>
        <v>0.19163076207034868</v>
      </c>
      <c r="BH8" s="31">
        <f t="shared" si="3"/>
        <v>3.6730364745667515E-2</v>
      </c>
      <c r="BI8" s="31">
        <f t="shared" si="8"/>
        <v>-0.15490039732468117</v>
      </c>
      <c r="BJ8" s="32">
        <f t="shared" ref="BJ8:BJ9" si="15">IF(AV8="",0,(AV8-AS8)/30.4)</f>
        <v>16.776315789473685</v>
      </c>
      <c r="BK8" s="32">
        <f t="shared" ref="BK8" si="16">IF(AW8="",0,(AW8-AU8)/30.4)</f>
        <v>0.19736842105263158</v>
      </c>
      <c r="BL8" s="33" t="s">
        <v>154</v>
      </c>
      <c r="BM8" s="76">
        <f>+(IF(AW8="",AU8-$K$1,AW8-$K$1))/30.4</f>
        <v>34.243421052631582</v>
      </c>
      <c r="BN8" s="75" t="s">
        <v>155</v>
      </c>
      <c r="BO8" s="71">
        <v>46387</v>
      </c>
      <c r="BP8" s="71"/>
      <c r="BQ8" s="101" t="s">
        <v>156</v>
      </c>
      <c r="BR8" s="103" t="s">
        <v>157</v>
      </c>
      <c r="BS8" s="103"/>
      <c r="BT8" s="103" t="s">
        <v>125</v>
      </c>
      <c r="BU8" s="107" t="s">
        <v>126</v>
      </c>
      <c r="BV8" s="107" t="s">
        <v>158</v>
      </c>
      <c r="BX8" s="148">
        <v>843436567.01999998</v>
      </c>
      <c r="BY8" s="148">
        <v>98529607.290000021</v>
      </c>
      <c r="BZ8" s="148">
        <v>19744171.810000002</v>
      </c>
      <c r="CI8" s="161"/>
      <c r="CU8" s="161"/>
    </row>
    <row r="9" spans="1:99" ht="68.400000000000006" x14ac:dyDescent="0.6">
      <c r="A9" s="15" t="s">
        <v>90</v>
      </c>
      <c r="B9" s="66" t="s">
        <v>159</v>
      </c>
      <c r="C9" s="15" t="s">
        <v>92</v>
      </c>
      <c r="D9" s="16" t="s">
        <v>160</v>
      </c>
      <c r="E9" s="16" t="s">
        <v>97</v>
      </c>
      <c r="F9" s="59" t="s">
        <v>161</v>
      </c>
      <c r="G9" s="15" t="s">
        <v>96</v>
      </c>
      <c r="H9" s="16" t="s">
        <v>97</v>
      </c>
      <c r="I9" s="18" t="s">
        <v>149</v>
      </c>
      <c r="J9" s="18" t="s">
        <v>162</v>
      </c>
      <c r="K9" s="18" t="s">
        <v>100</v>
      </c>
      <c r="L9" s="18" t="s">
        <v>163</v>
      </c>
      <c r="M9" s="17" t="s">
        <v>152</v>
      </c>
      <c r="N9" s="17"/>
      <c r="O9" s="19">
        <v>351965526.56</v>
      </c>
      <c r="P9" s="19"/>
      <c r="Q9" s="20">
        <v>44580</v>
      </c>
      <c r="R9" s="19"/>
      <c r="S9" s="19"/>
      <c r="T9" s="21">
        <f>+Q9+270</f>
        <v>44850</v>
      </c>
      <c r="U9" s="21"/>
      <c r="V9" s="21"/>
      <c r="W9" s="21"/>
      <c r="X9" s="21" t="s">
        <v>103</v>
      </c>
      <c r="Y9" s="22" t="e">
        <f t="shared" si="5"/>
        <v>#VALUE!</v>
      </c>
      <c r="Z9" s="22"/>
      <c r="AA9" s="22" t="e">
        <f>+(X9-R9)/30.4</f>
        <v>#VALUE!</v>
      </c>
      <c r="AB9" s="21">
        <v>44783</v>
      </c>
      <c r="AC9" s="22">
        <f t="shared" si="0"/>
        <v>6.677631578947369</v>
      </c>
      <c r="AD9" s="22"/>
      <c r="AE9" s="22">
        <f>+(AB9-T9)/30.4</f>
        <v>-2.2039473684210527</v>
      </c>
      <c r="AF9" s="22"/>
      <c r="AG9" s="22"/>
      <c r="AH9" s="21">
        <v>45007</v>
      </c>
      <c r="AI9" s="23">
        <f t="shared" si="1"/>
        <v>7.3684210526315796</v>
      </c>
      <c r="AJ9" s="23">
        <f t="shared" si="6"/>
        <v>5.1644736842105274</v>
      </c>
      <c r="AK9" s="23"/>
      <c r="AL9" s="23"/>
      <c r="AM9" s="23"/>
      <c r="AN9" s="23"/>
      <c r="AO9" s="23"/>
      <c r="AP9" s="23"/>
      <c r="AQ9" s="22">
        <v>2036</v>
      </c>
      <c r="AR9" s="20">
        <v>47042</v>
      </c>
      <c r="AS9" s="21">
        <v>47187</v>
      </c>
      <c r="AT9" s="24">
        <v>46922</v>
      </c>
      <c r="AU9" s="24">
        <v>47067</v>
      </c>
      <c r="AV9" s="21">
        <v>47187</v>
      </c>
      <c r="AW9" s="26">
        <v>47067</v>
      </c>
      <c r="AX9" s="124">
        <v>1</v>
      </c>
      <c r="AY9" s="124">
        <v>146</v>
      </c>
      <c r="AZ9" s="28" t="s">
        <v>164</v>
      </c>
      <c r="BA9" s="28" t="s">
        <v>165</v>
      </c>
      <c r="BB9" s="37">
        <v>45930</v>
      </c>
      <c r="BC9" s="19">
        <v>6705449.1899999995</v>
      </c>
      <c r="BD9" s="19">
        <v>185376467.86000001</v>
      </c>
      <c r="BE9" s="19">
        <v>90090897.456880793</v>
      </c>
      <c r="BF9" s="30">
        <f t="shared" si="7"/>
        <v>0.45333988212180748</v>
      </c>
      <c r="BG9" s="31">
        <f>BD9/O9</f>
        <v>0.5266892745770051</v>
      </c>
      <c r="BH9" s="41">
        <f t="shared" si="3"/>
        <v>0.25596511776991571</v>
      </c>
      <c r="BI9" s="41">
        <f>BH9-BG9</f>
        <v>-0.27072415680708939</v>
      </c>
      <c r="BJ9" s="32">
        <f t="shared" si="15"/>
        <v>0</v>
      </c>
      <c r="BK9" s="32">
        <f>IF(AW9="",0,(AW9-AT9)/30.4)</f>
        <v>4.7697368421052637</v>
      </c>
      <c r="BL9" s="33" t="str">
        <f t="shared" ref="BL9:BL22" si="17">+BA9</f>
        <v>Le Criticità SNAM (beole CO01 ed NV01), ANAS (firma Conven.) e Trovanti su GI02 impattano sui TU secondo quanto esposta dall'appaltatore. Dovranno essere eseguite le dovute analisi sugli impatti.</v>
      </c>
      <c r="BM9" s="76">
        <f>+(IF(AW9="",AT9-$K$1,AW9-$K$1))/30.4</f>
        <v>22.894736842105264</v>
      </c>
      <c r="BN9" s="75" t="str">
        <f t="shared" si="11"/>
        <v>FUORI</v>
      </c>
      <c r="BO9" s="71">
        <v>46387</v>
      </c>
      <c r="BP9" s="71"/>
      <c r="BQ9" s="102" t="s">
        <v>166</v>
      </c>
      <c r="BR9" s="107" t="s">
        <v>167</v>
      </c>
      <c r="BS9" s="107"/>
      <c r="BT9" s="103" t="s">
        <v>125</v>
      </c>
      <c r="BU9" s="107" t="s">
        <v>126</v>
      </c>
      <c r="BV9" s="107" t="s">
        <v>168</v>
      </c>
      <c r="BX9" s="148">
        <v>291129720.34000003</v>
      </c>
      <c r="BY9" s="148">
        <v>114640605.04000002</v>
      </c>
      <c r="BZ9" s="148">
        <v>43271707.189999998</v>
      </c>
      <c r="CI9" s="161"/>
      <c r="CU9" s="161"/>
    </row>
    <row r="10" spans="1:99" ht="55.9" customHeight="1" x14ac:dyDescent="0.45">
      <c r="A10" s="15" t="s">
        <v>169</v>
      </c>
      <c r="B10" s="66" t="s">
        <v>170</v>
      </c>
      <c r="C10" s="17" t="s">
        <v>171</v>
      </c>
      <c r="D10" s="16" t="s">
        <v>172</v>
      </c>
      <c r="E10" s="16" t="s">
        <v>94</v>
      </c>
      <c r="F10" s="17" t="s">
        <v>173</v>
      </c>
      <c r="G10" s="15" t="s">
        <v>174</v>
      </c>
      <c r="H10" s="18" t="s">
        <v>94</v>
      </c>
      <c r="I10" s="18" t="s">
        <v>175</v>
      </c>
      <c r="J10" s="18" t="s">
        <v>176</v>
      </c>
      <c r="K10" s="18" t="s">
        <v>100</v>
      </c>
      <c r="L10" s="18"/>
      <c r="M10" s="17" t="s">
        <v>177</v>
      </c>
      <c r="N10" s="17"/>
      <c r="O10" s="19">
        <v>305191820.35000002</v>
      </c>
      <c r="P10" s="19"/>
      <c r="Q10" s="20">
        <v>45000</v>
      </c>
      <c r="T10" s="21">
        <v>45249</v>
      </c>
      <c r="U10" s="21"/>
      <c r="V10" s="21"/>
      <c r="W10" s="21">
        <v>45491</v>
      </c>
      <c r="X10" s="20">
        <v>45362</v>
      </c>
      <c r="Y10" s="22">
        <f>+(X10-Q10)/30.4</f>
        <v>11.907894736842106</v>
      </c>
      <c r="Z10" s="22"/>
      <c r="AA10" s="22"/>
      <c r="AB10" s="21"/>
      <c r="AC10" s="22">
        <f ca="1">IF((AB10-Q10)/30.4&lt;0,(TODAY()-T10)/30.4,(AB10-Q10)/30.4)</f>
        <v>23.125</v>
      </c>
      <c r="AD10" s="22"/>
      <c r="AE10" s="22">
        <f ca="1">IF((AB10-T10)/30.4&lt;0,(TODAY()-T10)/30.4,(AB10-T10)/30.4)</f>
        <v>23.125</v>
      </c>
      <c r="AF10" s="22"/>
      <c r="AG10" s="20">
        <v>45362</v>
      </c>
      <c r="AH10" s="21"/>
      <c r="AI10" s="23">
        <f t="shared" si="1"/>
        <v>0</v>
      </c>
      <c r="AJ10" s="23">
        <f ca="1">+AI10+AE10</f>
        <v>23.125</v>
      </c>
      <c r="AK10" s="23"/>
      <c r="AL10" s="23"/>
      <c r="AM10" s="23"/>
      <c r="AN10" s="23"/>
      <c r="AO10" s="23"/>
      <c r="AP10" s="22">
        <v>841</v>
      </c>
      <c r="AQ10" s="22">
        <v>841</v>
      </c>
      <c r="AR10" s="20">
        <v>46160</v>
      </c>
      <c r="AS10" s="21">
        <v>46203</v>
      </c>
      <c r="AT10" s="24">
        <v>46370</v>
      </c>
      <c r="AU10" s="24">
        <v>46370</v>
      </c>
      <c r="AV10" s="21">
        <v>46203</v>
      </c>
      <c r="AW10" s="26">
        <v>46370</v>
      </c>
      <c r="AX10" s="26"/>
      <c r="AY10" s="26"/>
      <c r="AZ10" s="28" t="s">
        <v>178</v>
      </c>
      <c r="BA10" s="28" t="s">
        <v>179</v>
      </c>
      <c r="BB10" s="37">
        <v>45930</v>
      </c>
      <c r="BC10" s="19">
        <v>1638000</v>
      </c>
      <c r="BD10" s="19">
        <v>139572000</v>
      </c>
      <c r="BE10" s="19">
        <v>9132000</v>
      </c>
      <c r="BF10" s="30">
        <f>(BB10-AG10)/(AQ10)</f>
        <v>0.67538644470868014</v>
      </c>
      <c r="BG10" s="41">
        <f>BD10/O10</f>
        <v>0.45732549397928185</v>
      </c>
      <c r="BH10" s="54">
        <f>BE10/O10</f>
        <v>2.9922164983082578E-2</v>
      </c>
      <c r="BI10" s="31">
        <f>BH10-BG10</f>
        <v>-0.42740332899619926</v>
      </c>
      <c r="BJ10" s="55">
        <f>IF(AV10="",0,(AV10-AS10)/30.4)</f>
        <v>0</v>
      </c>
      <c r="BK10" s="55">
        <f>IF(AW10="",0,(AW10-AT10)/30.4)</f>
        <v>0</v>
      </c>
      <c r="BL10" s="33"/>
      <c r="BM10" s="76">
        <f>+(IF(AW10="",AT10-$K$1,AW10-$K$1))/30.4</f>
        <v>-3.2894736842105261E-2</v>
      </c>
      <c r="BN10" s="75" t="str">
        <f>+IF(AW10="",IF(AU10&lt;=BO10,"SI","FUORI"),IF(AW10&lt;=BO10,"SI","FUORI"))</f>
        <v>SI</v>
      </c>
      <c r="BO10" s="71">
        <v>46387</v>
      </c>
      <c r="BP10" s="71"/>
      <c r="BQ10" s="102" t="s">
        <v>180</v>
      </c>
      <c r="BR10" s="118" t="s">
        <v>181</v>
      </c>
      <c r="BS10" s="118"/>
      <c r="BT10" s="107" t="s">
        <v>125</v>
      </c>
      <c r="BU10" s="104" t="s">
        <v>103</v>
      </c>
      <c r="BV10" s="107" t="s">
        <v>182</v>
      </c>
      <c r="CB10" s="167">
        <v>5634000</v>
      </c>
      <c r="CC10" s="167">
        <v>1061000</v>
      </c>
      <c r="CD10" s="167">
        <v>463000</v>
      </c>
      <c r="CE10" s="167">
        <v>868000</v>
      </c>
      <c r="CF10" s="182"/>
      <c r="CG10" s="163" t="s">
        <v>183</v>
      </c>
      <c r="CH10" s="168">
        <v>3.5</v>
      </c>
      <c r="CI10" s="161" t="s">
        <v>145</v>
      </c>
      <c r="CK10" s="153">
        <f t="shared" ref="CK10:CK11" si="18">+BB10</f>
        <v>45930</v>
      </c>
      <c r="CL10" s="151">
        <f t="shared" ref="CL10:CL11" si="19">+O10</f>
        <v>305191820.35000002</v>
      </c>
      <c r="CN10" s="204">
        <f>+CB10/1000000</f>
        <v>5.6340000000000003</v>
      </c>
      <c r="CO10" s="203">
        <f t="shared" ref="CO10" si="20">+CC10/1000000</f>
        <v>1.0609999999999999</v>
      </c>
      <c r="CP10" s="203">
        <f t="shared" ref="CP10" si="21">+CD10/1000000</f>
        <v>0.46300000000000002</v>
      </c>
      <c r="CQ10" s="203">
        <f t="shared" ref="CQ10" si="22">+CE10/1000000</f>
        <v>0.86799999999999999</v>
      </c>
      <c r="CR10" s="182"/>
      <c r="CS10" s="163" t="s">
        <v>183</v>
      </c>
      <c r="CT10" s="168">
        <v>3.5</v>
      </c>
      <c r="CU10" s="161" t="s">
        <v>145</v>
      </c>
    </row>
    <row r="11" spans="1:99" ht="52.9" customHeight="1" x14ac:dyDescent="0.6">
      <c r="A11" s="15" t="s">
        <v>169</v>
      </c>
      <c r="B11" s="66" t="s">
        <v>184</v>
      </c>
      <c r="C11" s="15" t="s">
        <v>185</v>
      </c>
      <c r="D11" s="16" t="s">
        <v>186</v>
      </c>
      <c r="E11" s="16" t="s">
        <v>94</v>
      </c>
      <c r="F11" s="17" t="s">
        <v>187</v>
      </c>
      <c r="G11" s="15" t="s">
        <v>133</v>
      </c>
      <c r="H11" s="18" t="s">
        <v>97</v>
      </c>
      <c r="I11" s="18" t="s">
        <v>188</v>
      </c>
      <c r="J11" s="18" t="s">
        <v>189</v>
      </c>
      <c r="K11" s="18" t="s">
        <v>100</v>
      </c>
      <c r="L11" s="18" t="s">
        <v>190</v>
      </c>
      <c r="M11" s="17" t="s">
        <v>191</v>
      </c>
      <c r="N11" s="17"/>
      <c r="O11" s="19">
        <f>131019007.27+28168164.18</f>
        <v>159187171.44999999</v>
      </c>
      <c r="P11" s="19"/>
      <c r="Q11" s="109">
        <v>45182</v>
      </c>
      <c r="R11" s="109">
        <f>+Q11+147+90</f>
        <v>45419</v>
      </c>
      <c r="S11" s="109"/>
      <c r="T11" s="110"/>
      <c r="U11" s="110"/>
      <c r="V11" s="110"/>
      <c r="W11" s="110"/>
      <c r="X11" s="21">
        <v>45562</v>
      </c>
      <c r="Y11" s="111">
        <f>+(X11-Q11)/30.4</f>
        <v>12.5</v>
      </c>
      <c r="Z11" s="111"/>
      <c r="AA11" s="111"/>
      <c r="AB11" s="21"/>
      <c r="AC11" s="111"/>
      <c r="AD11" s="111"/>
      <c r="AE11" s="111"/>
      <c r="AF11" s="111"/>
      <c r="AG11" s="109">
        <v>45562</v>
      </c>
      <c r="AH11" s="110"/>
      <c r="AI11" s="112"/>
      <c r="AJ11" s="112"/>
      <c r="AK11" s="112"/>
      <c r="AL11" s="112"/>
      <c r="AM11" s="112"/>
      <c r="AN11" s="112"/>
      <c r="AO11" s="112"/>
      <c r="AP11" s="22">
        <v>632</v>
      </c>
      <c r="AQ11" s="22">
        <v>632</v>
      </c>
      <c r="AR11" s="21">
        <f>+X11+AP11-1</f>
        <v>46193</v>
      </c>
      <c r="AS11" s="21">
        <v>46193</v>
      </c>
      <c r="AT11" s="24"/>
      <c r="AU11" s="39"/>
      <c r="AV11" s="21"/>
      <c r="AW11" s="26"/>
      <c r="AX11" s="21"/>
      <c r="AY11" s="21"/>
      <c r="AZ11" s="57" t="s">
        <v>192</v>
      </c>
      <c r="BA11" s="28"/>
      <c r="BB11" s="37">
        <v>45930</v>
      </c>
      <c r="BC11" s="19">
        <v>1801366</v>
      </c>
      <c r="BD11" s="19">
        <v>38020682</v>
      </c>
      <c r="BE11" s="19">
        <v>11606192</v>
      </c>
      <c r="BF11" s="30">
        <f>(BB11-AG11)/(AQ11)</f>
        <v>0.58227848101265822</v>
      </c>
      <c r="BG11" s="31">
        <f>BD11/O11</f>
        <v>0.23884262565681766</v>
      </c>
      <c r="BH11" s="54">
        <f>BE11/O11</f>
        <v>7.2909091192976283E-2</v>
      </c>
      <c r="BI11" s="31">
        <f t="shared" ref="BI11" si="23">BH11-BG11</f>
        <v>-0.16593353446384138</v>
      </c>
      <c r="BJ11" s="32"/>
      <c r="BK11" s="32"/>
      <c r="BL11" s="33"/>
      <c r="BM11" s="76"/>
      <c r="BN11" s="75" t="s">
        <v>94</v>
      </c>
      <c r="BO11" s="71"/>
      <c r="BP11" s="71"/>
      <c r="BQ11" s="70"/>
      <c r="BR11" s="115" t="s">
        <v>193</v>
      </c>
      <c r="BS11" s="115"/>
      <c r="BV11" s="107" t="s">
        <v>194</v>
      </c>
      <c r="CB11" s="169"/>
      <c r="CC11" s="169"/>
      <c r="CD11" s="169"/>
      <c r="CE11" s="169"/>
      <c r="CF11" s="183"/>
      <c r="CG11" s="170" t="s">
        <v>128</v>
      </c>
      <c r="CH11" s="164">
        <v>1.6</v>
      </c>
      <c r="CI11" s="189" t="s">
        <v>195</v>
      </c>
      <c r="CK11" s="153">
        <f t="shared" si="18"/>
        <v>45930</v>
      </c>
      <c r="CL11" s="151">
        <f t="shared" si="19"/>
        <v>159187171.44999999</v>
      </c>
      <c r="CN11" s="169"/>
      <c r="CO11" s="169"/>
      <c r="CP11" s="169"/>
      <c r="CQ11" s="169"/>
      <c r="CR11" s="183"/>
      <c r="CS11" s="170" t="s">
        <v>128</v>
      </c>
      <c r="CT11" s="169"/>
    </row>
    <row r="12" spans="1:99" ht="46.8" x14ac:dyDescent="0.6">
      <c r="A12" s="15" t="s">
        <v>169</v>
      </c>
      <c r="B12" s="66" t="s">
        <v>196</v>
      </c>
      <c r="C12" s="15" t="s">
        <v>197</v>
      </c>
      <c r="D12" s="16" t="s">
        <v>198</v>
      </c>
      <c r="E12" s="16" t="s">
        <v>97</v>
      </c>
      <c r="F12" s="17" t="s">
        <v>199</v>
      </c>
      <c r="G12" s="15" t="s">
        <v>200</v>
      </c>
      <c r="H12" s="18" t="s">
        <v>97</v>
      </c>
      <c r="I12" s="18" t="s">
        <v>201</v>
      </c>
      <c r="J12" s="18" t="s">
        <v>202</v>
      </c>
      <c r="K12" s="18" t="s">
        <v>100</v>
      </c>
      <c r="L12" s="18" t="s">
        <v>203</v>
      </c>
      <c r="M12" s="17" t="s">
        <v>204</v>
      </c>
      <c r="N12" s="17"/>
      <c r="O12" s="19">
        <v>109633430.14</v>
      </c>
      <c r="P12" s="19"/>
      <c r="Q12" s="20">
        <v>44614</v>
      </c>
      <c r="R12" s="20"/>
      <c r="S12" s="20"/>
      <c r="T12" s="20">
        <v>45418</v>
      </c>
      <c r="U12" s="128"/>
      <c r="W12" s="20"/>
      <c r="X12" s="21"/>
      <c r="Y12" s="22"/>
      <c r="Z12" s="22">
        <f>+(T12-Q12)/30.4</f>
        <v>26.447368421052634</v>
      </c>
      <c r="AA12" s="22"/>
      <c r="AB12" s="20">
        <v>45418</v>
      </c>
      <c r="AC12" s="22">
        <f ca="1">IF((AB12-Q12)/30.4&lt;0,(TODAY()-T12)/30.4,(AB12-Q12)/30.4)</f>
        <v>26.447368421052634</v>
      </c>
      <c r="AD12" s="22"/>
      <c r="AE12" s="22">
        <f t="shared" ref="AE12:AE21" ca="1" si="24">IF((AB12-T12)/30.4&lt;0,(TODAY()-T12)/30.4,(AB12-T12)/30.4)</f>
        <v>0</v>
      </c>
      <c r="AF12" s="22"/>
      <c r="AG12" s="21"/>
      <c r="AH12" s="20">
        <v>45418</v>
      </c>
      <c r="AI12" s="23">
        <f t="shared" ref="AI12:AI29" si="25">+(AH12-AB12)/30.4</f>
        <v>0</v>
      </c>
      <c r="AJ12" s="23">
        <f t="shared" ca="1" si="6"/>
        <v>0</v>
      </c>
      <c r="AK12" s="23"/>
      <c r="AL12" s="23"/>
      <c r="AM12" s="23"/>
      <c r="AN12" s="23"/>
      <c r="AO12" s="23"/>
      <c r="AP12" s="23">
        <v>685</v>
      </c>
      <c r="AQ12" s="23">
        <v>685</v>
      </c>
      <c r="AR12" s="20">
        <v>46102</v>
      </c>
      <c r="AS12" s="20">
        <v>46102</v>
      </c>
      <c r="AT12" s="24"/>
      <c r="AU12" s="24"/>
      <c r="AV12" s="20">
        <v>46102</v>
      </c>
      <c r="AW12" s="26"/>
      <c r="AX12" s="124">
        <v>0</v>
      </c>
      <c r="AY12" s="124">
        <v>0</v>
      </c>
      <c r="AZ12" s="100"/>
      <c r="BA12" s="43"/>
      <c r="BB12" s="37">
        <v>45930</v>
      </c>
      <c r="BC12" s="19">
        <v>361868.75</v>
      </c>
      <c r="BD12" s="19">
        <v>58548396.490000002</v>
      </c>
      <c r="BE12" s="19">
        <v>12317062.34</v>
      </c>
      <c r="BF12" s="30">
        <f>(BB12-T12)/(AQ12)</f>
        <v>0.74744525547445251</v>
      </c>
      <c r="BG12" s="41">
        <f>BD12/O12</f>
        <v>0.53403780594326666</v>
      </c>
      <c r="BH12" s="41">
        <f>BE12/O12</f>
        <v>0.11234768741862153</v>
      </c>
      <c r="BI12" s="41">
        <f t="shared" ref="BI12" si="26">BH12-BG12</f>
        <v>-0.42169011852464511</v>
      </c>
      <c r="BJ12" s="32">
        <f t="shared" ref="BJ12" si="27">IF(AV12="",0,(AV12-AS12)/30.4)</f>
        <v>0</v>
      </c>
      <c r="BK12" s="55">
        <f>IF(AW12="",0,(AW12-AT12)/30.4)</f>
        <v>0</v>
      </c>
      <c r="BL12" s="33"/>
      <c r="BM12" s="76"/>
      <c r="BN12" s="75"/>
      <c r="BO12" s="71"/>
      <c r="BP12" s="71"/>
      <c r="BQ12" s="72" t="s">
        <v>205</v>
      </c>
      <c r="BR12" s="107" t="s">
        <v>70</v>
      </c>
      <c r="BS12" s="107"/>
      <c r="BT12" s="107" t="s">
        <v>125</v>
      </c>
      <c r="BU12" s="119" t="s">
        <v>109</v>
      </c>
      <c r="BV12" s="103" t="s">
        <v>74</v>
      </c>
    </row>
    <row r="13" spans="1:99" ht="45.6" x14ac:dyDescent="0.6">
      <c r="A13" s="15" t="s">
        <v>169</v>
      </c>
      <c r="B13" s="66" t="s">
        <v>206</v>
      </c>
      <c r="C13" s="15" t="s">
        <v>207</v>
      </c>
      <c r="D13" s="138" t="s">
        <v>208</v>
      </c>
      <c r="E13" s="16" t="s">
        <v>94</v>
      </c>
      <c r="F13" s="59" t="s">
        <v>209</v>
      </c>
      <c r="G13" s="15" t="s">
        <v>143</v>
      </c>
      <c r="H13" s="16" t="s">
        <v>97</v>
      </c>
      <c r="I13" s="18" t="s">
        <v>210</v>
      </c>
      <c r="J13" s="18" t="s">
        <v>211</v>
      </c>
      <c r="K13" s="18" t="s">
        <v>100</v>
      </c>
      <c r="L13" s="18" t="s">
        <v>212</v>
      </c>
      <c r="M13" s="17" t="s">
        <v>213</v>
      </c>
      <c r="N13" s="17"/>
      <c r="O13" s="19">
        <v>228940435.5</v>
      </c>
      <c r="P13" s="19"/>
      <c r="Q13" s="20"/>
      <c r="R13" s="20"/>
      <c r="S13" s="20"/>
      <c r="T13" s="20"/>
      <c r="U13" s="20"/>
      <c r="V13" s="20"/>
      <c r="W13" s="20"/>
      <c r="X13" s="21"/>
      <c r="Y13" s="22">
        <f t="shared" si="5"/>
        <v>0</v>
      </c>
      <c r="Z13" s="22"/>
      <c r="AA13" s="22">
        <f t="shared" ref="AA13:AA17" si="28">+(X13-R13)/30.4</f>
        <v>0</v>
      </c>
      <c r="AB13" s="21">
        <v>43454</v>
      </c>
      <c r="AC13" s="22">
        <f ca="1">IF((AB13-Q13)/30.4&lt;0,(TODAY()-T13)/30.4,(AB13-Q13)/30.4)</f>
        <v>1429.4078947368421</v>
      </c>
      <c r="AD13" s="22"/>
      <c r="AE13" s="22">
        <f t="shared" ca="1" si="24"/>
        <v>1429.4078947368421</v>
      </c>
      <c r="AF13" s="22"/>
      <c r="AG13" s="21"/>
      <c r="AH13" s="21">
        <v>43454</v>
      </c>
      <c r="AI13" s="23">
        <f t="shared" si="25"/>
        <v>0</v>
      </c>
      <c r="AJ13" s="23">
        <f t="shared" ca="1" si="6"/>
        <v>1429.4078947368421</v>
      </c>
      <c r="AK13" s="23"/>
      <c r="AL13" s="23"/>
      <c r="AM13" s="23"/>
      <c r="AN13" s="23"/>
      <c r="AO13" s="23"/>
      <c r="AP13" s="23">
        <v>1444</v>
      </c>
      <c r="AQ13" s="36">
        <v>2630</v>
      </c>
      <c r="AR13" s="21">
        <v>44898</v>
      </c>
      <c r="AS13" s="21">
        <v>46083</v>
      </c>
      <c r="AT13" s="24">
        <v>44988</v>
      </c>
      <c r="AU13" s="24">
        <v>45959</v>
      </c>
      <c r="AV13" s="21"/>
      <c r="AW13" s="26"/>
      <c r="AX13" s="124">
        <v>6</v>
      </c>
      <c r="AY13" s="124">
        <v>1186</v>
      </c>
      <c r="AZ13" s="42"/>
      <c r="BA13" s="43" t="s">
        <v>214</v>
      </c>
      <c r="BB13" s="37">
        <v>45901</v>
      </c>
      <c r="BC13" s="19">
        <v>3040090</v>
      </c>
      <c r="BD13" s="19">
        <f>BE13+6000000</f>
        <v>205534780</v>
      </c>
      <c r="BE13" s="19">
        <v>199534780</v>
      </c>
      <c r="BF13" s="30">
        <f t="shared" si="7"/>
        <v>0.93041825095057029</v>
      </c>
      <c r="BG13" s="31">
        <f t="shared" ref="BG13:BG21" si="29">BD13/O13</f>
        <v>0.89776530542154931</v>
      </c>
      <c r="BH13" s="31">
        <f t="shared" ref="BH13:BH21" si="30">BE13/O13</f>
        <v>0.87155761525578124</v>
      </c>
      <c r="BI13" s="31">
        <f t="shared" ref="BI13" si="31">BH13-BG13</f>
        <v>-2.6207690165768072E-2</v>
      </c>
      <c r="BJ13" s="32">
        <f t="shared" ref="BJ13" si="32">IF(AV13="",0,AV13-AS13)</f>
        <v>0</v>
      </c>
      <c r="BK13" s="32">
        <f>IF(AW13="",0,AW13-AT13)</f>
        <v>0</v>
      </c>
      <c r="BL13" s="33" t="s">
        <v>215</v>
      </c>
      <c r="BM13" s="76">
        <f>+(IF(AW13="",AT13-$K$1,AW13-$K$1))/30.4</f>
        <v>-45.493421052631582</v>
      </c>
      <c r="BN13" s="75" t="str">
        <f t="shared" si="11"/>
        <v>FUORI</v>
      </c>
      <c r="BO13" s="71">
        <v>45703</v>
      </c>
      <c r="BP13" s="71"/>
      <c r="BQ13" s="70"/>
      <c r="BR13" s="104" t="s">
        <v>103</v>
      </c>
      <c r="BS13" s="104"/>
      <c r="BT13" s="104" t="s">
        <v>103</v>
      </c>
      <c r="BU13" s="104" t="s">
        <v>103</v>
      </c>
      <c r="BV13" s="103" t="s">
        <v>216</v>
      </c>
      <c r="CB13" s="159">
        <f>CL13</f>
        <v>228940435.5</v>
      </c>
      <c r="CC13" s="159">
        <f>BD13</f>
        <v>205534780</v>
      </c>
      <c r="CD13" s="169"/>
      <c r="CE13" s="159">
        <f>BE13</f>
        <v>199534780</v>
      </c>
      <c r="CF13" s="182"/>
      <c r="CG13" s="174" t="s">
        <v>217</v>
      </c>
      <c r="CH13" s="166" t="s">
        <v>218</v>
      </c>
      <c r="CI13" s="181" t="s">
        <v>219</v>
      </c>
      <c r="CK13" s="153">
        <f t="shared" ref="CK13" si="33">+BB13</f>
        <v>45901</v>
      </c>
      <c r="CL13" s="151">
        <f t="shared" ref="CL13" si="34">+O13</f>
        <v>228940435.5</v>
      </c>
      <c r="CN13" s="169"/>
      <c r="CO13" s="169"/>
      <c r="CP13" s="169"/>
      <c r="CQ13" s="169"/>
      <c r="CR13" s="182"/>
      <c r="CS13" s="174" t="s">
        <v>220</v>
      </c>
      <c r="CT13" s="169"/>
      <c r="CU13" s="181" t="s">
        <v>219</v>
      </c>
    </row>
    <row r="14" spans="1:99" ht="22.8" x14ac:dyDescent="0.6">
      <c r="A14" s="15" t="s">
        <v>169</v>
      </c>
      <c r="B14" s="66" t="s">
        <v>221</v>
      </c>
      <c r="C14" s="15" t="s">
        <v>207</v>
      </c>
      <c r="D14" s="138" t="s">
        <v>222</v>
      </c>
      <c r="E14" s="16" t="s">
        <v>97</v>
      </c>
      <c r="F14" s="116" t="s">
        <v>223</v>
      </c>
      <c r="G14" s="15" t="s">
        <v>224</v>
      </c>
      <c r="H14" s="16"/>
      <c r="I14" s="18" t="s">
        <v>210</v>
      </c>
      <c r="J14" s="18" t="s">
        <v>225</v>
      </c>
      <c r="K14" s="18" t="s">
        <v>100</v>
      </c>
      <c r="L14" s="18" t="s">
        <v>226</v>
      </c>
      <c r="M14" s="17" t="s">
        <v>227</v>
      </c>
      <c r="N14" s="17"/>
      <c r="O14" s="19">
        <v>562973981.95000005</v>
      </c>
      <c r="P14" s="19"/>
      <c r="Q14" s="20">
        <v>44865</v>
      </c>
      <c r="R14" s="20">
        <v>44954</v>
      </c>
      <c r="S14" s="20"/>
      <c r="T14" s="20">
        <v>45114</v>
      </c>
      <c r="U14" s="20"/>
      <c r="V14" s="20"/>
      <c r="W14" s="20"/>
      <c r="X14" s="21">
        <v>44994</v>
      </c>
      <c r="Y14" s="22">
        <f t="shared" ref="Y14:Y16" si="35">+(R14-Q14)/30.4</f>
        <v>2.9276315789473686</v>
      </c>
      <c r="Z14" s="22">
        <f t="shared" ref="Z14:Z17" si="36">+(T14-Q14)/30.4</f>
        <v>8.1907894736842106</v>
      </c>
      <c r="AA14" s="22">
        <f t="shared" si="28"/>
        <v>1.3157894736842106</v>
      </c>
      <c r="AB14" s="21">
        <v>45287</v>
      </c>
      <c r="AC14" s="22">
        <f>+(AB14-Q14)/30.4</f>
        <v>13.881578947368421</v>
      </c>
      <c r="AD14" s="22">
        <f t="shared" ref="AD14:AD17" si="37">+(T14-R14)/30.4</f>
        <v>5.2631578947368425</v>
      </c>
      <c r="AE14" s="22">
        <f t="shared" ca="1" si="24"/>
        <v>5.6907894736842106</v>
      </c>
      <c r="AF14" s="22">
        <f t="shared" ref="AF14:AF16" ca="1" si="38">+AA14+AE14</f>
        <v>7.0065789473684212</v>
      </c>
      <c r="AG14" s="21">
        <v>44994</v>
      </c>
      <c r="AH14" s="21">
        <v>45287</v>
      </c>
      <c r="AI14" s="23">
        <f t="shared" si="25"/>
        <v>0</v>
      </c>
      <c r="AJ14" s="23">
        <f t="shared" ca="1" si="6"/>
        <v>5.6907894736842106</v>
      </c>
      <c r="AK14" s="23"/>
      <c r="AL14" s="23"/>
      <c r="AM14" s="23"/>
      <c r="AN14" s="23"/>
      <c r="AO14" s="23"/>
      <c r="AP14" s="23"/>
      <c r="AQ14" s="36">
        <v>1058</v>
      </c>
      <c r="AR14" s="21">
        <v>46252</v>
      </c>
      <c r="AS14" s="21">
        <v>46252</v>
      </c>
      <c r="AT14" s="44">
        <v>46192</v>
      </c>
      <c r="AU14" s="39"/>
      <c r="AV14" s="56">
        <v>46093</v>
      </c>
      <c r="AW14" s="56">
        <v>46369</v>
      </c>
      <c r="AX14" s="56"/>
      <c r="AY14" s="56"/>
      <c r="AZ14" s="28"/>
      <c r="BA14" s="43"/>
      <c r="BB14" s="37">
        <v>45930</v>
      </c>
      <c r="BC14" s="215">
        <v>62199.9497248224</v>
      </c>
      <c r="BD14" s="215">
        <v>547420575.32000017</v>
      </c>
      <c r="BE14" s="215">
        <v>38681984.096764296</v>
      </c>
      <c r="BF14" s="30">
        <f>(BB14-AH14)/(AQ14)</f>
        <v>0.60775047258979209</v>
      </c>
      <c r="BG14" s="31">
        <f t="shared" si="29"/>
        <v>0.97237277897616725</v>
      </c>
      <c r="BH14" s="61">
        <f t="shared" si="30"/>
        <v>6.8710074243181984E-2</v>
      </c>
      <c r="BI14" s="31">
        <f>BH14-BG14</f>
        <v>-0.90366270473298527</v>
      </c>
      <c r="BJ14" s="32"/>
      <c r="BK14" s="32"/>
      <c r="BL14" s="33"/>
      <c r="BM14" s="76"/>
      <c r="BN14" s="75" t="str">
        <f t="shared" si="11"/>
        <v>FUORI</v>
      </c>
      <c r="BO14" s="71">
        <v>46203</v>
      </c>
      <c r="BP14" s="90" t="s">
        <v>228</v>
      </c>
      <c r="BQ14" s="72" t="s">
        <v>229</v>
      </c>
      <c r="BR14" s="103" t="s">
        <v>70</v>
      </c>
      <c r="BS14" s="103"/>
      <c r="BT14" s="103" t="s">
        <v>230</v>
      </c>
      <c r="BU14" s="103" t="s">
        <v>144</v>
      </c>
      <c r="BV14" s="107" t="s">
        <v>74</v>
      </c>
    </row>
    <row r="15" spans="1:99" ht="46.8" x14ac:dyDescent="0.6">
      <c r="A15" s="15" t="s">
        <v>169</v>
      </c>
      <c r="B15" s="66" t="s">
        <v>231</v>
      </c>
      <c r="C15" s="15" t="s">
        <v>207</v>
      </c>
      <c r="D15" s="16" t="s">
        <v>232</v>
      </c>
      <c r="E15" s="16" t="s">
        <v>97</v>
      </c>
      <c r="F15" s="59" t="s">
        <v>233</v>
      </c>
      <c r="G15" s="15" t="s">
        <v>200</v>
      </c>
      <c r="H15" s="16" t="s">
        <v>97</v>
      </c>
      <c r="I15" s="18" t="s">
        <v>210</v>
      </c>
      <c r="J15" s="18" t="s">
        <v>234</v>
      </c>
      <c r="K15" s="18" t="s">
        <v>100</v>
      </c>
      <c r="L15" s="18" t="s">
        <v>235</v>
      </c>
      <c r="M15" s="17" t="s">
        <v>236</v>
      </c>
      <c r="N15" s="17"/>
      <c r="O15" s="19">
        <f>967033567.08+179329357.91</f>
        <v>1146362924.99</v>
      </c>
      <c r="P15" s="19"/>
      <c r="Q15" s="20">
        <v>45052</v>
      </c>
      <c r="R15" s="20">
        <v>45141</v>
      </c>
      <c r="S15" s="20"/>
      <c r="T15" s="20">
        <v>45254</v>
      </c>
      <c r="U15" s="20"/>
      <c r="V15" s="20"/>
      <c r="W15" s="20">
        <v>45869</v>
      </c>
      <c r="X15" s="21">
        <v>45149</v>
      </c>
      <c r="Y15" s="22">
        <f t="shared" si="35"/>
        <v>2.9276315789473686</v>
      </c>
      <c r="Z15" s="22">
        <f t="shared" si="36"/>
        <v>6.6447368421052637</v>
      </c>
      <c r="AA15" s="22">
        <f t="shared" si="28"/>
        <v>0.26315789473684209</v>
      </c>
      <c r="AB15" s="21"/>
      <c r="AC15" s="22">
        <f t="shared" ref="AC15:AC21" ca="1" si="39">IF((AB15-Q15)/30.4&lt;0,(TODAY()-T15)/30.4,(AB15-Q15)/30.4)</f>
        <v>22.960526315789476</v>
      </c>
      <c r="AD15" s="22">
        <f t="shared" si="37"/>
        <v>3.7171052631578947</v>
      </c>
      <c r="AE15" s="22">
        <f ca="1">IF((AB15-T15)/30.4&lt;0,(TODAY()-T15)/30.4,(AB15-T15)/30.4)</f>
        <v>22.960526315789476</v>
      </c>
      <c r="AF15" s="22">
        <f t="shared" ca="1" si="38"/>
        <v>23.223684210526319</v>
      </c>
      <c r="AG15" s="21">
        <v>45198</v>
      </c>
      <c r="AH15" s="21"/>
      <c r="AI15" s="23">
        <f t="shared" si="25"/>
        <v>0</v>
      </c>
      <c r="AJ15" s="23">
        <f t="shared" ca="1" si="6"/>
        <v>22.960526315789476</v>
      </c>
      <c r="AK15" s="23"/>
      <c r="AL15" s="23"/>
      <c r="AM15" s="23"/>
      <c r="AN15" s="23"/>
      <c r="AO15" s="23"/>
      <c r="AP15" s="23">
        <v>1062</v>
      </c>
      <c r="AQ15" s="36">
        <v>113</v>
      </c>
      <c r="AR15" s="20">
        <v>46203</v>
      </c>
      <c r="AS15" s="21">
        <v>46435</v>
      </c>
      <c r="AT15" s="44">
        <v>46446</v>
      </c>
      <c r="AU15" s="24"/>
      <c r="AV15" s="129" t="str">
        <f>IF(AH15="","Decorrenza Parte B mancante",+AH15+AQ15-1)</f>
        <v>Decorrenza Parte B mancante</v>
      </c>
      <c r="AW15" s="56">
        <f>AS15+250</f>
        <v>46685</v>
      </c>
      <c r="AX15" s="124">
        <v>0</v>
      </c>
      <c r="AY15" s="124">
        <v>0</v>
      </c>
      <c r="AZ15" s="28"/>
      <c r="BA15" s="43"/>
      <c r="BB15" s="37">
        <v>45930</v>
      </c>
      <c r="BC15" s="19">
        <v>552093.65</v>
      </c>
      <c r="BD15" s="19">
        <v>10834042.1</v>
      </c>
      <c r="BE15" s="19">
        <v>8842708.3200000003</v>
      </c>
      <c r="BF15" s="30">
        <f>(BB15-AG15)/(AQ15)</f>
        <v>6.4778761061946906</v>
      </c>
      <c r="BG15" s="62">
        <f t="shared" si="29"/>
        <v>9.4507959598348901E-3</v>
      </c>
      <c r="BH15" s="62">
        <f t="shared" si="30"/>
        <v>7.713707524235518E-3</v>
      </c>
      <c r="BI15" s="62">
        <f>BH15-BG15</f>
        <v>-1.737088435599372E-3</v>
      </c>
      <c r="BJ15" s="32" t="e">
        <f>IF(AV15="",0,AV15-AS15)</f>
        <v>#VALUE!</v>
      </c>
      <c r="BK15" s="32">
        <f t="shared" ref="BK15:BK19" si="40">IF(AW15="",0,AW15-AT15)</f>
        <v>239</v>
      </c>
      <c r="BL15" s="33"/>
      <c r="BM15" s="76">
        <f t="shared" ref="BM15:BM17" si="41">+(IF(AW15="",AT15-$K$1,AW15-$K$1))/30.4</f>
        <v>10.328947368421053</v>
      </c>
      <c r="BN15" s="75" t="str">
        <f t="shared" si="11"/>
        <v>FUORI</v>
      </c>
      <c r="BO15" s="71">
        <v>46387</v>
      </c>
      <c r="BP15" s="71"/>
      <c r="BQ15" s="102" t="s">
        <v>237</v>
      </c>
      <c r="BR15" s="115" t="s">
        <v>238</v>
      </c>
      <c r="BS15" s="115"/>
      <c r="BT15" s="103" t="s">
        <v>239</v>
      </c>
      <c r="BV15" s="103" t="s">
        <v>74</v>
      </c>
    </row>
    <row r="16" spans="1:99" ht="35.1" x14ac:dyDescent="0.6">
      <c r="A16" s="15" t="s">
        <v>169</v>
      </c>
      <c r="B16" s="66" t="s">
        <v>240</v>
      </c>
      <c r="C16" s="15" t="s">
        <v>207</v>
      </c>
      <c r="D16" s="16" t="s">
        <v>241</v>
      </c>
      <c r="E16" s="16" t="s">
        <v>97</v>
      </c>
      <c r="F16" s="59" t="s">
        <v>242</v>
      </c>
      <c r="G16" s="15" t="s">
        <v>200</v>
      </c>
      <c r="H16" s="16" t="s">
        <v>97</v>
      </c>
      <c r="I16" s="18" t="s">
        <v>210</v>
      </c>
      <c r="J16" s="18" t="s">
        <v>234</v>
      </c>
      <c r="K16" s="18" t="s">
        <v>100</v>
      </c>
      <c r="L16" s="18" t="s">
        <v>243</v>
      </c>
      <c r="M16" s="17" t="s">
        <v>244</v>
      </c>
      <c r="N16" s="17"/>
      <c r="O16" s="19">
        <f>1551458292.32</f>
        <v>1551458292.3199999</v>
      </c>
      <c r="P16" s="19"/>
      <c r="Q16" s="20">
        <v>45065</v>
      </c>
      <c r="R16" s="20">
        <v>45154</v>
      </c>
      <c r="S16" s="20"/>
      <c r="T16" s="20">
        <v>45281</v>
      </c>
      <c r="U16" s="20"/>
      <c r="V16" s="20"/>
      <c r="W16" s="20">
        <v>46022</v>
      </c>
      <c r="X16" s="21">
        <v>45195</v>
      </c>
      <c r="Y16" s="22">
        <f t="shared" si="35"/>
        <v>2.9276315789473686</v>
      </c>
      <c r="Z16" s="22">
        <f t="shared" si="36"/>
        <v>7.1052631578947372</v>
      </c>
      <c r="AA16" s="22">
        <f t="shared" si="28"/>
        <v>1.3486842105263159</v>
      </c>
      <c r="AB16" s="21"/>
      <c r="AC16" s="22">
        <f t="shared" ca="1" si="39"/>
        <v>22.072368421052634</v>
      </c>
      <c r="AD16" s="22">
        <f t="shared" si="37"/>
        <v>4.177631578947369</v>
      </c>
      <c r="AE16" s="22">
        <f t="shared" ca="1" si="24"/>
        <v>22.072368421052634</v>
      </c>
      <c r="AF16" s="22">
        <f t="shared" ca="1" si="38"/>
        <v>23.421052631578949</v>
      </c>
      <c r="AG16" s="21">
        <v>45223</v>
      </c>
      <c r="AH16" s="21"/>
      <c r="AI16" s="23">
        <f t="shared" si="25"/>
        <v>0</v>
      </c>
      <c r="AJ16" s="23">
        <f t="shared" ca="1" si="6"/>
        <v>22.072368421052634</v>
      </c>
      <c r="AK16" s="23"/>
      <c r="AL16" s="23"/>
      <c r="AM16" s="23"/>
      <c r="AN16" s="23"/>
      <c r="AO16" s="23"/>
      <c r="AP16" s="23">
        <v>1294</v>
      </c>
      <c r="AQ16" s="36">
        <v>160</v>
      </c>
      <c r="AR16" s="20">
        <v>46658</v>
      </c>
      <c r="AS16" s="21">
        <v>46522</v>
      </c>
      <c r="AT16" s="44">
        <v>46459</v>
      </c>
      <c r="AU16" s="24"/>
      <c r="AV16" s="129" t="str">
        <f t="shared" ref="AV16:AV17" si="42">IF(AH16="","Decorrenza Parte B mancante",+AH16+AQ16-1)</f>
        <v>Decorrenza Parte B mancante</v>
      </c>
      <c r="AW16" s="56">
        <f>AS16-70</f>
        <v>46452</v>
      </c>
      <c r="AX16" s="124">
        <v>3</v>
      </c>
      <c r="AY16" s="124">
        <v>322</v>
      </c>
      <c r="AZ16" s="28"/>
      <c r="BA16" s="43"/>
      <c r="BB16" s="37">
        <v>45930</v>
      </c>
      <c r="BC16" s="19">
        <v>0</v>
      </c>
      <c r="BD16" s="19">
        <v>7383014.5999999996</v>
      </c>
      <c r="BE16" s="19">
        <v>5606150.2400000002</v>
      </c>
      <c r="BF16" s="30">
        <f>(BB16-AG16)/(AQ16)</f>
        <v>4.4187500000000002</v>
      </c>
      <c r="BG16" s="62">
        <f t="shared" si="29"/>
        <v>4.7587580256248339E-3</v>
      </c>
      <c r="BH16" s="62">
        <f t="shared" si="30"/>
        <v>3.6134714466714711E-3</v>
      </c>
      <c r="BI16" s="62">
        <f>BH16-BG16</f>
        <v>-1.1452865789533628E-3</v>
      </c>
      <c r="BJ16" s="32" t="e">
        <f t="shared" ref="BJ16:BJ19" si="43">IF(AV16="",0,AV16-AS16)</f>
        <v>#VALUE!</v>
      </c>
      <c r="BK16" s="32">
        <f t="shared" si="40"/>
        <v>-7</v>
      </c>
      <c r="BL16" s="149" t="s">
        <v>245</v>
      </c>
      <c r="BM16" s="76">
        <f t="shared" si="41"/>
        <v>2.6644736842105265</v>
      </c>
      <c r="BN16" s="75" t="str">
        <f t="shared" si="11"/>
        <v>FUORI</v>
      </c>
      <c r="BO16" s="71">
        <v>46387</v>
      </c>
      <c r="BP16" s="71"/>
      <c r="BQ16" s="102" t="s">
        <v>246</v>
      </c>
      <c r="BR16" s="114" t="s">
        <v>247</v>
      </c>
      <c r="BS16" s="114"/>
      <c r="BT16" s="103" t="s">
        <v>230</v>
      </c>
      <c r="BV16" s="107" t="s">
        <v>74</v>
      </c>
    </row>
    <row r="17" spans="1:99" ht="35.1" x14ac:dyDescent="0.6">
      <c r="A17" s="15" t="s">
        <v>169</v>
      </c>
      <c r="B17" s="66" t="s">
        <v>248</v>
      </c>
      <c r="C17" s="15" t="s">
        <v>207</v>
      </c>
      <c r="D17" s="16" t="s">
        <v>249</v>
      </c>
      <c r="E17" s="16" t="s">
        <v>97</v>
      </c>
      <c r="F17" s="59" t="s">
        <v>250</v>
      </c>
      <c r="G17" s="15" t="s">
        <v>200</v>
      </c>
      <c r="H17" s="16" t="s">
        <v>97</v>
      </c>
      <c r="I17" s="18" t="s">
        <v>210</v>
      </c>
      <c r="J17" s="18" t="s">
        <v>234</v>
      </c>
      <c r="K17" s="18" t="s">
        <v>100</v>
      </c>
      <c r="L17" s="18" t="s">
        <v>251</v>
      </c>
      <c r="M17" s="17" t="s">
        <v>252</v>
      </c>
      <c r="N17" s="17"/>
      <c r="O17" s="19">
        <f>1022785336.94+206449605.22</f>
        <v>1229234942.1600001</v>
      </c>
      <c r="P17" s="19"/>
      <c r="Q17" s="20">
        <v>45098</v>
      </c>
      <c r="R17" s="20">
        <v>45187</v>
      </c>
      <c r="S17" s="20"/>
      <c r="T17" s="20">
        <f>+R17+127</f>
        <v>45314</v>
      </c>
      <c r="U17" s="20"/>
      <c r="V17" s="20"/>
      <c r="W17" s="20">
        <v>45660</v>
      </c>
      <c r="X17" s="21">
        <v>45225</v>
      </c>
      <c r="Y17" s="22">
        <f>+(R17-Q17)/30.4</f>
        <v>2.9276315789473686</v>
      </c>
      <c r="Z17" s="22">
        <f t="shared" si="36"/>
        <v>7.1052631578947372</v>
      </c>
      <c r="AA17" s="22">
        <f t="shared" si="28"/>
        <v>1.25</v>
      </c>
      <c r="AB17" s="21"/>
      <c r="AC17" s="22">
        <f t="shared" ca="1" si="39"/>
        <v>20.986842105263158</v>
      </c>
      <c r="AD17" s="22">
        <f t="shared" si="37"/>
        <v>4.177631578947369</v>
      </c>
      <c r="AE17" s="22">
        <f t="shared" ca="1" si="24"/>
        <v>20.986842105263158</v>
      </c>
      <c r="AF17" s="22">
        <f ca="1">+AA17+AE17</f>
        <v>22.236842105263158</v>
      </c>
      <c r="AG17" s="21">
        <v>45240</v>
      </c>
      <c r="AH17" s="21"/>
      <c r="AI17" s="23">
        <f t="shared" si="25"/>
        <v>0</v>
      </c>
      <c r="AJ17" s="23">
        <f ca="1">+AI17+AE17</f>
        <v>20.986842105263158</v>
      </c>
      <c r="AK17" s="23"/>
      <c r="AL17" s="23"/>
      <c r="AM17" s="23"/>
      <c r="AN17" s="23"/>
      <c r="AO17" s="23"/>
      <c r="AP17" s="23">
        <v>2403</v>
      </c>
      <c r="AQ17" s="36">
        <v>127</v>
      </c>
      <c r="AR17" s="20">
        <v>47590</v>
      </c>
      <c r="AS17" s="21">
        <v>47687</v>
      </c>
      <c r="AT17" s="44">
        <v>47390</v>
      </c>
      <c r="AU17" s="24"/>
      <c r="AV17" s="129" t="str">
        <f t="shared" si="42"/>
        <v>Decorrenza Parte B mancante</v>
      </c>
      <c r="AW17" s="56">
        <f>AS17-200</f>
        <v>47487</v>
      </c>
      <c r="AX17" s="124">
        <v>1</v>
      </c>
      <c r="AY17" s="124">
        <v>179</v>
      </c>
      <c r="AZ17" s="28"/>
      <c r="BA17" s="43"/>
      <c r="BB17" s="37">
        <v>45930</v>
      </c>
      <c r="BC17" s="19">
        <v>0</v>
      </c>
      <c r="BD17" s="19">
        <v>7089279.5800000001</v>
      </c>
      <c r="BE17" s="19">
        <v>7089279.5800000001</v>
      </c>
      <c r="BF17" s="30">
        <f>(BB17-AG17)/(AQ17)</f>
        <v>5.4330708661417324</v>
      </c>
      <c r="BG17" s="62">
        <f t="shared" si="29"/>
        <v>5.7672291413574566E-3</v>
      </c>
      <c r="BH17" s="62">
        <f t="shared" si="30"/>
        <v>5.7672291413574566E-3</v>
      </c>
      <c r="BI17" s="62">
        <f>BH17-BG17</f>
        <v>0</v>
      </c>
      <c r="BJ17" s="32" t="e">
        <f t="shared" si="43"/>
        <v>#VALUE!</v>
      </c>
      <c r="BK17" s="32">
        <f t="shared" si="40"/>
        <v>97</v>
      </c>
      <c r="BL17" s="149" t="s">
        <v>253</v>
      </c>
      <c r="BM17" s="76">
        <f t="shared" si="41"/>
        <v>36.710526315789473</v>
      </c>
      <c r="BN17" s="75" t="str">
        <f t="shared" si="11"/>
        <v>FUORI</v>
      </c>
      <c r="BO17" s="71">
        <v>46387</v>
      </c>
      <c r="BP17" s="71"/>
      <c r="BQ17" s="102" t="s">
        <v>254</v>
      </c>
      <c r="BR17" s="114" t="s">
        <v>255</v>
      </c>
      <c r="BS17" s="114"/>
      <c r="BT17" s="103" t="s">
        <v>230</v>
      </c>
      <c r="BV17" s="103" t="s">
        <v>74</v>
      </c>
    </row>
    <row r="18" spans="1:99" ht="22.8" x14ac:dyDescent="0.6">
      <c r="A18" s="15" t="s">
        <v>169</v>
      </c>
      <c r="B18" s="66" t="s">
        <v>256</v>
      </c>
      <c r="C18" s="15" t="s">
        <v>207</v>
      </c>
      <c r="D18" s="18" t="s">
        <v>257</v>
      </c>
      <c r="E18" s="18" t="s">
        <v>97</v>
      </c>
      <c r="F18" s="59" t="s">
        <v>258</v>
      </c>
      <c r="G18" s="15" t="s">
        <v>224</v>
      </c>
      <c r="H18" s="16"/>
      <c r="I18" s="18" t="s">
        <v>259</v>
      </c>
      <c r="J18" s="18" t="s">
        <v>260</v>
      </c>
      <c r="K18" s="18" t="s">
        <v>100</v>
      </c>
      <c r="L18" s="18" t="s">
        <v>261</v>
      </c>
      <c r="M18" s="17" t="s">
        <v>262</v>
      </c>
      <c r="N18" s="17"/>
      <c r="O18" s="19">
        <v>307480624.64999998</v>
      </c>
      <c r="P18" s="19"/>
      <c r="Q18" s="20">
        <v>45119</v>
      </c>
      <c r="R18" s="20"/>
      <c r="S18" s="20"/>
      <c r="T18" s="20">
        <v>45505</v>
      </c>
      <c r="U18" s="20"/>
      <c r="V18" s="20"/>
      <c r="W18" s="20"/>
      <c r="X18" s="21"/>
      <c r="Y18" s="22">
        <f>+(R18-Q18)/30.4</f>
        <v>-1484.1776315789475</v>
      </c>
      <c r="Z18" s="22">
        <f t="shared" ref="Z18" si="44">+(T18-Q18)/30.4</f>
        <v>12.697368421052632</v>
      </c>
      <c r="AA18" s="22">
        <f t="shared" ref="AA18" si="45">+(X18-R18)/30.4</f>
        <v>0</v>
      </c>
      <c r="AB18" s="21">
        <v>45615</v>
      </c>
      <c r="AC18" s="22">
        <f ca="1">IF((AB18-Q18)/30.4&lt;0,(TODAY()-T18)/30.4,(AB18-Q18)/30.4)</f>
        <v>16.315789473684212</v>
      </c>
      <c r="AD18" s="22"/>
      <c r="AE18" s="22">
        <f t="shared" ref="AE18" ca="1" si="46">IF((AB18-T18)/30.4&lt;0,(TODAY()-T18)/30.4,(AB18-T18)/30.4)</f>
        <v>3.6184210526315792</v>
      </c>
      <c r="AF18" s="22">
        <f ca="1">+AA18+AE18</f>
        <v>3.6184210526315792</v>
      </c>
      <c r="AG18" s="21"/>
      <c r="AH18" s="21">
        <v>45615</v>
      </c>
      <c r="AI18" s="23">
        <f t="shared" ref="AI18" si="47">+(AH18-AB18)/30.4</f>
        <v>0</v>
      </c>
      <c r="AJ18" s="23">
        <f ca="1">+AI18+AE18</f>
        <v>3.6184210526315792</v>
      </c>
      <c r="AK18" s="23"/>
      <c r="AL18" s="23"/>
      <c r="AM18" s="23"/>
      <c r="AN18" s="23"/>
      <c r="AO18" s="23"/>
      <c r="AP18" s="23">
        <v>1303</v>
      </c>
      <c r="AQ18" s="36">
        <v>951</v>
      </c>
      <c r="AR18" s="20">
        <v>46565</v>
      </c>
      <c r="AS18" s="21">
        <v>46565</v>
      </c>
      <c r="AT18" s="44">
        <v>46604</v>
      </c>
      <c r="AU18" s="24"/>
      <c r="AV18" s="56">
        <f>+AH18+AQ18-1</f>
        <v>46565</v>
      </c>
      <c r="AW18" s="56">
        <v>46604</v>
      </c>
      <c r="AX18" s="56"/>
      <c r="AY18" s="56"/>
      <c r="AZ18" s="28"/>
      <c r="BA18" s="43"/>
      <c r="BB18" s="37">
        <v>45930</v>
      </c>
      <c r="BC18" s="19">
        <v>9715239.3699999992</v>
      </c>
      <c r="BD18" s="19">
        <v>103514348.31999999</v>
      </c>
      <c r="BE18" s="19">
        <v>47695271.539999999</v>
      </c>
      <c r="BF18" s="30">
        <f t="shared" ref="BF18:BF22" si="48">(BB18-AH18)/(AQ18)</f>
        <v>0.33123028391167192</v>
      </c>
      <c r="BG18" s="61">
        <f t="shared" ref="BG18" si="49">BD18/O18</f>
        <v>0.33665323933118918</v>
      </c>
      <c r="BH18" s="61">
        <f t="shared" ref="BH18" si="50">BE18/O18</f>
        <v>0.15511634788140138</v>
      </c>
      <c r="BI18" s="62">
        <f>BH18-BG18</f>
        <v>-0.1815368914497878</v>
      </c>
      <c r="BJ18" s="32">
        <f t="shared" si="43"/>
        <v>0</v>
      </c>
      <c r="BK18" s="32">
        <f t="shared" ref="BK18" si="51">IF(AW18="",0,AW18-AT18)</f>
        <v>0</v>
      </c>
      <c r="BL18" s="33"/>
      <c r="BM18" s="76">
        <f t="shared" ref="BM18" si="52">+(IF(AW18="",AT18-$K$1,AW18-$K$1))/30.4</f>
        <v>7.6644736842105265</v>
      </c>
      <c r="BN18" s="120" t="str">
        <f t="shared" ref="BN18" si="53">+IF(AW18="",IF(AU18&lt;=BO18,"SI","FUORI"),IF(AW18&lt;=BO18,"SI","FUORI"))</f>
        <v>FUORI</v>
      </c>
      <c r="BO18" s="121">
        <v>46387</v>
      </c>
      <c r="BP18" s="90" t="s">
        <v>263</v>
      </c>
      <c r="BQ18" s="214" t="s">
        <v>264</v>
      </c>
      <c r="BR18" s="115"/>
      <c r="BS18" s="115"/>
      <c r="BT18" s="103" t="s">
        <v>230</v>
      </c>
      <c r="BU18" s="103" t="s">
        <v>73</v>
      </c>
      <c r="BV18" s="103" t="s">
        <v>74</v>
      </c>
    </row>
    <row r="19" spans="1:99" ht="107.25" customHeight="1" x14ac:dyDescent="0.45">
      <c r="A19" s="15" t="s">
        <v>169</v>
      </c>
      <c r="B19" s="66" t="s">
        <v>265</v>
      </c>
      <c r="C19" s="15" t="s">
        <v>207</v>
      </c>
      <c r="D19" s="16" t="s">
        <v>271</v>
      </c>
      <c r="E19" s="16" t="s">
        <v>94</v>
      </c>
      <c r="F19" s="59" t="s">
        <v>272</v>
      </c>
      <c r="G19" s="15" t="s">
        <v>266</v>
      </c>
      <c r="H19" s="16" t="s">
        <v>97</v>
      </c>
      <c r="I19" s="18" t="s">
        <v>210</v>
      </c>
      <c r="J19" s="18" t="s">
        <v>267</v>
      </c>
      <c r="K19" s="18" t="s">
        <v>100</v>
      </c>
      <c r="L19" s="17" t="s">
        <v>273</v>
      </c>
      <c r="M19" s="17" t="s">
        <v>152</v>
      </c>
      <c r="N19" s="17"/>
      <c r="O19" s="19">
        <v>628999589.80999994</v>
      </c>
      <c r="P19" s="19"/>
      <c r="Q19" s="20">
        <v>44398</v>
      </c>
      <c r="R19" s="20"/>
      <c r="S19" s="20"/>
      <c r="T19" s="20" t="s">
        <v>274</v>
      </c>
      <c r="U19" s="20"/>
      <c r="V19" s="20"/>
      <c r="W19" s="20"/>
      <c r="X19" s="21"/>
      <c r="Y19" s="22"/>
      <c r="Z19" s="22"/>
      <c r="AA19" s="22"/>
      <c r="AB19" s="21">
        <v>45006</v>
      </c>
      <c r="AC19" s="22">
        <f t="shared" ca="1" si="39"/>
        <v>20</v>
      </c>
      <c r="AD19" s="22"/>
      <c r="AE19" s="22">
        <f t="shared" ca="1" si="24"/>
        <v>9.6710526315789487</v>
      </c>
      <c r="AF19" s="22"/>
      <c r="AG19" s="21" t="s">
        <v>103</v>
      </c>
      <c r="AH19" s="21">
        <v>45104</v>
      </c>
      <c r="AI19" s="23">
        <f t="shared" si="25"/>
        <v>3.2236842105263159</v>
      </c>
      <c r="AJ19" s="23">
        <f t="shared" ca="1" si="6"/>
        <v>12.894736842105264</v>
      </c>
      <c r="AK19" s="23"/>
      <c r="AL19" s="23"/>
      <c r="AM19" s="23"/>
      <c r="AN19" s="23"/>
      <c r="AO19" s="23"/>
      <c r="AP19" s="23"/>
      <c r="AQ19" s="36">
        <v>2400</v>
      </c>
      <c r="AR19" s="21"/>
      <c r="AS19" s="21">
        <v>47924</v>
      </c>
      <c r="AT19" s="24">
        <v>47563</v>
      </c>
      <c r="AU19" s="39"/>
      <c r="AV19" s="56">
        <v>48186</v>
      </c>
      <c r="AW19" s="56">
        <v>47826</v>
      </c>
      <c r="AX19" s="23">
        <v>0</v>
      </c>
      <c r="AY19" s="23">
        <v>0</v>
      </c>
      <c r="AZ19" s="42"/>
      <c r="BA19" s="43"/>
      <c r="BB19" s="37">
        <v>45930</v>
      </c>
      <c r="BC19" s="19" t="s">
        <v>275</v>
      </c>
      <c r="BD19" s="19" t="s">
        <v>276</v>
      </c>
      <c r="BE19" s="19" t="s">
        <v>277</v>
      </c>
      <c r="BF19" s="30">
        <f t="shared" si="48"/>
        <v>0.34416666666666668</v>
      </c>
      <c r="BG19" s="31">
        <f t="shared" si="29"/>
        <v>0.28430571898149903</v>
      </c>
      <c r="BH19" s="31">
        <f t="shared" si="30"/>
        <v>9.6630410917056056E-2</v>
      </c>
      <c r="BI19" s="31">
        <f t="shared" ref="BI19:BI21" si="54">BH19-BG19</f>
        <v>-0.18767530806444299</v>
      </c>
      <c r="BJ19" s="32">
        <f t="shared" si="43"/>
        <v>262</v>
      </c>
      <c r="BK19" s="32">
        <f t="shared" si="40"/>
        <v>263</v>
      </c>
      <c r="BL19" s="33"/>
      <c r="BM19" s="76"/>
      <c r="BN19" s="75" t="str">
        <f t="shared" si="11"/>
        <v>FUORI</v>
      </c>
      <c r="BO19" s="71"/>
      <c r="BP19" s="71"/>
      <c r="BQ19" s="72"/>
      <c r="BR19" s="115" t="s">
        <v>268</v>
      </c>
      <c r="BS19" s="115"/>
      <c r="BT19" s="115" t="s">
        <v>125</v>
      </c>
      <c r="BU19" s="115" t="s">
        <v>109</v>
      </c>
      <c r="BV19" s="115" t="s">
        <v>269</v>
      </c>
      <c r="BX19" s="146"/>
      <c r="BY19" s="146"/>
      <c r="BZ19" s="146"/>
      <c r="CB19" s="173">
        <v>28231890.66</v>
      </c>
      <c r="CC19" s="173">
        <v>10552836.49</v>
      </c>
      <c r="CD19" s="173">
        <v>1382303.53</v>
      </c>
      <c r="CE19" s="173">
        <v>4336045.76</v>
      </c>
      <c r="CF19" s="190"/>
      <c r="CG19" s="184" t="s">
        <v>278</v>
      </c>
      <c r="CH19" s="161" t="s">
        <v>279</v>
      </c>
      <c r="CI19" s="161" t="s">
        <v>145</v>
      </c>
      <c r="CK19" s="153">
        <f t="shared" ref="CK19" si="55">+BB19</f>
        <v>45930</v>
      </c>
      <c r="CL19" s="151">
        <f t="shared" ref="CL19" si="56">+O19</f>
        <v>628999589.80999994</v>
      </c>
      <c r="CN19" s="204">
        <f>+CB19/1000000</f>
        <v>28.231890660000001</v>
      </c>
      <c r="CO19" s="203">
        <f t="shared" ref="CO19" si="57">+CC19/1000000</f>
        <v>10.552836490000001</v>
      </c>
      <c r="CP19" s="203">
        <f t="shared" ref="CP19" si="58">+CD19/1000000</f>
        <v>1.3823035299999999</v>
      </c>
      <c r="CQ19" s="203">
        <f t="shared" ref="CQ19" si="59">+CE19/1000000</f>
        <v>4.3360457600000002</v>
      </c>
      <c r="CR19" s="190"/>
      <c r="CS19" s="184" t="s">
        <v>270</v>
      </c>
      <c r="CT19" s="161" t="s">
        <v>279</v>
      </c>
      <c r="CU19" s="161" t="s">
        <v>145</v>
      </c>
    </row>
    <row r="20" spans="1:99" ht="31.2" x14ac:dyDescent="0.6">
      <c r="A20" s="15" t="s">
        <v>169</v>
      </c>
      <c r="B20" s="66" t="s">
        <v>280</v>
      </c>
      <c r="C20" s="66" t="s">
        <v>281</v>
      </c>
      <c r="D20" s="16" t="s">
        <v>282</v>
      </c>
      <c r="E20" s="16" t="s">
        <v>97</v>
      </c>
      <c r="F20" s="59" t="s">
        <v>283</v>
      </c>
      <c r="G20" s="15" t="s">
        <v>266</v>
      </c>
      <c r="H20" s="16"/>
      <c r="I20" s="18" t="s">
        <v>259</v>
      </c>
      <c r="J20" s="18" t="s">
        <v>234</v>
      </c>
      <c r="K20" s="18" t="s">
        <v>100</v>
      </c>
      <c r="L20" s="18"/>
      <c r="M20" s="17" t="s">
        <v>284</v>
      </c>
      <c r="N20" s="17"/>
      <c r="O20" s="19">
        <v>70557031.560000002</v>
      </c>
      <c r="P20" s="19"/>
      <c r="Q20" s="20">
        <v>45098</v>
      </c>
      <c r="R20" s="20"/>
      <c r="S20" s="20"/>
      <c r="T20" s="20"/>
      <c r="U20" s="20"/>
      <c r="V20" s="20"/>
      <c r="W20" s="20"/>
      <c r="X20" s="21"/>
      <c r="Y20" s="22"/>
      <c r="Z20" s="22"/>
      <c r="AA20" s="22"/>
      <c r="AB20" s="21">
        <v>45790</v>
      </c>
      <c r="AC20" s="22">
        <f t="shared" ca="1" si="39"/>
        <v>22.763157894736842</v>
      </c>
      <c r="AD20" s="22"/>
      <c r="AE20" s="22">
        <f t="shared" ca="1" si="24"/>
        <v>1506.25</v>
      </c>
      <c r="AF20" s="22"/>
      <c r="AG20" s="21"/>
      <c r="AH20" s="21">
        <v>45790</v>
      </c>
      <c r="AI20" s="23">
        <f t="shared" si="25"/>
        <v>0</v>
      </c>
      <c r="AJ20" s="23">
        <f t="shared" ca="1" si="6"/>
        <v>1506.25</v>
      </c>
      <c r="AK20" s="23"/>
      <c r="AL20" s="23"/>
      <c r="AM20" s="23"/>
      <c r="AN20" s="23"/>
      <c r="AO20" s="23"/>
      <c r="AP20" s="23"/>
      <c r="AQ20" s="36">
        <v>608</v>
      </c>
      <c r="AR20" s="21"/>
      <c r="AS20" s="21">
        <v>46397</v>
      </c>
      <c r="AT20" s="24">
        <v>46203</v>
      </c>
      <c r="AU20" s="39"/>
      <c r="AV20" s="56">
        <v>46397</v>
      </c>
      <c r="AW20" s="56"/>
      <c r="AX20" s="23">
        <v>0</v>
      </c>
      <c r="AY20" s="23">
        <v>0</v>
      </c>
      <c r="AZ20" s="42"/>
      <c r="BA20" s="43"/>
      <c r="BB20" s="37">
        <v>45930</v>
      </c>
      <c r="BC20" s="228">
        <v>180085.19</v>
      </c>
      <c r="BD20" s="228">
        <v>5681490.3200000003</v>
      </c>
      <c r="BE20" s="228">
        <v>635301.18000000005</v>
      </c>
      <c r="BF20" s="30">
        <f>(BB20-AH20)/(AQ20)</f>
        <v>0.23026315789473684</v>
      </c>
      <c r="BG20" s="31">
        <f>BD20/O20</f>
        <v>8.0523375124825047E-2</v>
      </c>
      <c r="BH20" s="31">
        <f t="shared" ref="BH20" si="60">BE20/O20</f>
        <v>9.0040803298216312E-3</v>
      </c>
      <c r="BI20" s="31">
        <f t="shared" ref="BI20" si="61">BH20-BG20</f>
        <v>-7.1519294795003421E-2</v>
      </c>
      <c r="BJ20" s="32">
        <f t="shared" ref="BJ20" si="62">IF(AV20="",0,AV20-AS20)</f>
        <v>0</v>
      </c>
      <c r="BK20" s="32">
        <f t="shared" ref="BK20" si="63">IF(AW20="",0,AW20-AT20)</f>
        <v>0</v>
      </c>
      <c r="BL20" s="33"/>
      <c r="BM20" s="76"/>
      <c r="BN20" s="75"/>
      <c r="BO20" s="71"/>
      <c r="BP20" s="71"/>
      <c r="BQ20" s="72" t="s">
        <v>285</v>
      </c>
      <c r="BR20" s="115"/>
      <c r="BS20" s="115"/>
      <c r="BT20" s="115"/>
      <c r="BU20" s="115"/>
      <c r="BV20" s="115"/>
      <c r="CB20" s="173">
        <v>67871540.659999996</v>
      </c>
      <c r="CC20" s="173">
        <f>BD20</f>
        <v>5681490.3200000003</v>
      </c>
      <c r="CD20" s="173">
        <f>BC20</f>
        <v>180085.19</v>
      </c>
      <c r="CE20" s="173">
        <f>BE20</f>
        <v>635301.18000000005</v>
      </c>
      <c r="CF20" s="191"/>
      <c r="CG20" s="184" t="s">
        <v>285</v>
      </c>
      <c r="CH20" s="161" t="s">
        <v>286</v>
      </c>
      <c r="CI20" s="181" t="s">
        <v>219</v>
      </c>
      <c r="CK20" s="153">
        <f>+BB20</f>
        <v>45930</v>
      </c>
      <c r="CL20" s="151">
        <f>+O20</f>
        <v>70557031.560000002</v>
      </c>
    </row>
    <row r="21" spans="1:99" ht="45.6" x14ac:dyDescent="0.6">
      <c r="A21" s="15" t="s">
        <v>169</v>
      </c>
      <c r="B21" s="66" t="s">
        <v>287</v>
      </c>
      <c r="C21" s="15" t="s">
        <v>288</v>
      </c>
      <c r="D21" s="16" t="s">
        <v>289</v>
      </c>
      <c r="E21" s="16" t="s">
        <v>97</v>
      </c>
      <c r="F21" s="59" t="s">
        <v>290</v>
      </c>
      <c r="G21" s="15" t="s">
        <v>291</v>
      </c>
      <c r="H21" s="16" t="s">
        <v>97</v>
      </c>
      <c r="I21" s="18" t="s">
        <v>292</v>
      </c>
      <c r="J21" s="18" t="s">
        <v>293</v>
      </c>
      <c r="K21" s="18" t="s">
        <v>100</v>
      </c>
      <c r="L21" s="18"/>
      <c r="M21" s="17" t="s">
        <v>294</v>
      </c>
      <c r="N21" s="17"/>
      <c r="O21" s="19">
        <v>91857841.439999998</v>
      </c>
      <c r="P21" s="19"/>
      <c r="Q21" s="20">
        <v>44026</v>
      </c>
      <c r="R21" s="21">
        <v>45142</v>
      </c>
      <c r="S21" s="21"/>
      <c r="T21" s="21">
        <f>+Q21+240</f>
        <v>44266</v>
      </c>
      <c r="U21" s="21"/>
      <c r="V21" s="21"/>
      <c r="W21" s="21"/>
      <c r="X21" s="21">
        <v>45142</v>
      </c>
      <c r="Y21" s="22">
        <f>+(R21-Q21)/30.4</f>
        <v>36.710526315789473</v>
      </c>
      <c r="Z21" s="22">
        <f>+(T21-Q21)/30.4</f>
        <v>7.8947368421052637</v>
      </c>
      <c r="AA21" s="22">
        <f t="shared" ref="AA21:AA29" si="64">+(X21-R21)/30.4</f>
        <v>0</v>
      </c>
      <c r="AB21" s="21">
        <v>45142</v>
      </c>
      <c r="AC21" s="22">
        <f t="shared" ca="1" si="39"/>
        <v>36.710526315789473</v>
      </c>
      <c r="AD21" s="22">
        <f>+(T21-R21)/30.4</f>
        <v>-28.815789473684212</v>
      </c>
      <c r="AE21" s="22">
        <f t="shared" ca="1" si="24"/>
        <v>28.815789473684212</v>
      </c>
      <c r="AF21" s="22">
        <f ca="1">+AA21+AE21</f>
        <v>28.815789473684212</v>
      </c>
      <c r="AG21" s="21"/>
      <c r="AH21" s="21">
        <v>45142</v>
      </c>
      <c r="AI21" s="23">
        <f t="shared" si="25"/>
        <v>0</v>
      </c>
      <c r="AJ21" s="23">
        <f t="shared" ca="1" si="6"/>
        <v>28.815789473684212</v>
      </c>
      <c r="AK21" s="23"/>
      <c r="AL21" s="23"/>
      <c r="AM21" s="23"/>
      <c r="AN21" s="23"/>
      <c r="AO21" s="23"/>
      <c r="AP21" s="23"/>
      <c r="AQ21" s="22">
        <v>1624</v>
      </c>
      <c r="AR21" s="22"/>
      <c r="AS21" s="21">
        <v>46701</v>
      </c>
      <c r="AT21" s="21">
        <v>46579</v>
      </c>
      <c r="AU21" s="45"/>
      <c r="AV21" s="21">
        <v>46701</v>
      </c>
      <c r="AW21" s="26">
        <v>46579</v>
      </c>
      <c r="AX21" s="26"/>
      <c r="AY21" s="26"/>
      <c r="AZ21" s="46"/>
      <c r="BA21" s="43" t="s">
        <v>295</v>
      </c>
      <c r="BB21" s="37">
        <v>45899</v>
      </c>
      <c r="BC21" s="19">
        <v>80000</v>
      </c>
      <c r="BD21" s="19">
        <v>59060000</v>
      </c>
      <c r="BE21" s="47">
        <v>7770000</v>
      </c>
      <c r="BF21" s="30">
        <f t="shared" si="48"/>
        <v>0.46613300492610837</v>
      </c>
      <c r="BG21" s="31">
        <f t="shared" si="29"/>
        <v>0.642950009211538</v>
      </c>
      <c r="BH21" s="31">
        <f t="shared" si="30"/>
        <v>8.4587226067958862E-2</v>
      </c>
      <c r="BI21" s="31">
        <f t="shared" si="54"/>
        <v>-0.55836278314357912</v>
      </c>
      <c r="BJ21" s="32"/>
      <c r="BK21" s="32"/>
      <c r="BL21" s="43" t="s">
        <v>296</v>
      </c>
      <c r="BM21" s="76">
        <f>+(IF(AW21="",AU21-$K$1,AW21-$K$1))/30.4</f>
        <v>6.8421052631578947</v>
      </c>
      <c r="BN21" s="75" t="str">
        <f t="shared" si="11"/>
        <v>FUORI</v>
      </c>
      <c r="BO21" s="71"/>
      <c r="BP21" s="71" t="s">
        <v>297</v>
      </c>
      <c r="BQ21" s="106" t="s">
        <v>298</v>
      </c>
      <c r="BR21" s="103" t="s">
        <v>299</v>
      </c>
      <c r="BS21" s="103"/>
      <c r="BT21" s="103" t="s">
        <v>300</v>
      </c>
      <c r="BU21" s="103" t="s">
        <v>73</v>
      </c>
      <c r="BV21" s="103" t="s">
        <v>110</v>
      </c>
      <c r="BX21" s="104"/>
    </row>
    <row r="22" spans="1:99" ht="102.6" x14ac:dyDescent="0.6">
      <c r="A22" s="15" t="s">
        <v>90</v>
      </c>
      <c r="B22" s="66"/>
      <c r="C22" s="15" t="s">
        <v>301</v>
      </c>
      <c r="D22" s="16" t="s">
        <v>302</v>
      </c>
      <c r="E22" s="16" t="s">
        <v>97</v>
      </c>
      <c r="F22" s="59" t="s">
        <v>303</v>
      </c>
      <c r="G22" s="15" t="s">
        <v>291</v>
      </c>
      <c r="H22" s="16" t="s">
        <v>97</v>
      </c>
      <c r="I22" s="18" t="s">
        <v>292</v>
      </c>
      <c r="J22" s="18" t="s">
        <v>304</v>
      </c>
      <c r="K22" s="18" t="s">
        <v>100</v>
      </c>
      <c r="L22" s="18"/>
      <c r="M22" s="17" t="s">
        <v>294</v>
      </c>
      <c r="N22" s="17"/>
      <c r="O22" s="19">
        <v>55852497.659999996</v>
      </c>
      <c r="P22" s="19"/>
      <c r="Q22" s="20">
        <v>44285</v>
      </c>
      <c r="R22" s="19"/>
      <c r="S22" s="19"/>
      <c r="T22" s="21">
        <f>240+Q22</f>
        <v>44525</v>
      </c>
      <c r="U22" s="21"/>
      <c r="V22" s="21"/>
      <c r="W22" s="21"/>
      <c r="X22" s="21" t="s">
        <v>103</v>
      </c>
      <c r="Y22" s="22" t="e">
        <f t="shared" si="5"/>
        <v>#VALUE!</v>
      </c>
      <c r="Z22" s="22"/>
      <c r="AA22" s="22" t="e">
        <f t="shared" si="64"/>
        <v>#VALUE!</v>
      </c>
      <c r="AB22" s="21">
        <v>44832</v>
      </c>
      <c r="AC22" s="22">
        <f>+(AB22-Q22)/30.4</f>
        <v>17.993421052631579</v>
      </c>
      <c r="AD22" s="22"/>
      <c r="AE22" s="22">
        <f>+(AB22-T22)/30.4</f>
        <v>10.098684210526317</v>
      </c>
      <c r="AF22" s="22"/>
      <c r="AG22" s="21"/>
      <c r="AH22" s="21">
        <v>44832</v>
      </c>
      <c r="AI22" s="23">
        <f t="shared" si="25"/>
        <v>0</v>
      </c>
      <c r="AJ22" s="23">
        <f t="shared" si="6"/>
        <v>10.098684210526317</v>
      </c>
      <c r="AK22" s="23"/>
      <c r="AL22" s="23"/>
      <c r="AM22" s="23"/>
      <c r="AN22" s="23"/>
      <c r="AO22" s="23"/>
      <c r="AP22" s="23">
        <v>828</v>
      </c>
      <c r="AQ22" s="22">
        <v>1466</v>
      </c>
      <c r="AR22" s="21">
        <v>45590</v>
      </c>
      <c r="AS22" s="21">
        <v>46203</v>
      </c>
      <c r="AT22" s="21">
        <v>45659</v>
      </c>
      <c r="AU22" s="21">
        <v>46320</v>
      </c>
      <c r="AV22" s="48" t="s">
        <v>305</v>
      </c>
      <c r="AW22" s="21">
        <v>46320</v>
      </c>
      <c r="AX22" s="217">
        <v>1</v>
      </c>
      <c r="AY22" s="217">
        <f>+AS22-AR22</f>
        <v>613</v>
      </c>
      <c r="AZ22" s="92" t="s">
        <v>306</v>
      </c>
      <c r="BA22" s="92" t="s">
        <v>307</v>
      </c>
      <c r="BB22" s="37">
        <v>45930</v>
      </c>
      <c r="BC22" s="19">
        <v>141409</v>
      </c>
      <c r="BD22" s="19">
        <v>43756833</v>
      </c>
      <c r="BE22" s="47">
        <v>34438803</v>
      </c>
      <c r="BF22" s="30">
        <f t="shared" si="48"/>
        <v>0.74897680763983632</v>
      </c>
      <c r="BG22" s="31">
        <f>BD22/O22</f>
        <v>0.78343556390921132</v>
      </c>
      <c r="BH22" s="31">
        <f>BE22/O22</f>
        <v>0.61660273833490731</v>
      </c>
      <c r="BI22" s="31">
        <f t="shared" ref="BI22:BI24" si="65">BH22-BG22</f>
        <v>-0.16683282557430401</v>
      </c>
      <c r="BJ22" s="32"/>
      <c r="BK22" s="32">
        <f>IF(AW22="",0,(AW22-AT22)/30.4)</f>
        <v>21.743421052631579</v>
      </c>
      <c r="BL22" s="33" t="str">
        <f t="shared" si="17"/>
        <v>Alla data odierna, per gli scostamenti che si stanno registrando, sarà molto difficile rimanere nei termini esposti dal 1^AIM, che vedono la fine delle opere civili(compreso armamento) al 30/06/2026. Ci si aspetta una rimodulazione da parte dell'appaltatore in quanto il ritardo maturato è ascivibile a sue colpe</v>
      </c>
      <c r="BM22" s="76">
        <f>+(IF(AW22="",AU22-$K$1,AW22-$K$1))/30.4</f>
        <v>-1.6776315789473686</v>
      </c>
      <c r="BN22" s="75" t="s">
        <v>94</v>
      </c>
      <c r="BO22" s="71">
        <v>46203</v>
      </c>
      <c r="BP22" s="71"/>
      <c r="BQ22" s="106" t="s">
        <v>308</v>
      </c>
      <c r="BR22" s="107"/>
      <c r="BS22" s="107"/>
      <c r="BT22" s="107" t="s">
        <v>230</v>
      </c>
      <c r="BU22" s="107" t="s">
        <v>73</v>
      </c>
      <c r="BV22" s="107" t="s">
        <v>110</v>
      </c>
      <c r="BX22" s="104" t="s">
        <v>309</v>
      </c>
      <c r="BY22" s="104" t="s">
        <v>310</v>
      </c>
      <c r="BZ22" s="104" t="s">
        <v>311</v>
      </c>
    </row>
    <row r="23" spans="1:99" ht="91.2" x14ac:dyDescent="0.6">
      <c r="A23" s="15" t="s">
        <v>169</v>
      </c>
      <c r="B23" s="66"/>
      <c r="C23" s="15" t="s">
        <v>301</v>
      </c>
      <c r="D23" s="16" t="s">
        <v>312</v>
      </c>
      <c r="E23" s="16" t="s">
        <v>97</v>
      </c>
      <c r="F23" s="59" t="s">
        <v>313</v>
      </c>
      <c r="G23" s="15" t="s">
        <v>291</v>
      </c>
      <c r="H23" s="16" t="s">
        <v>97</v>
      </c>
      <c r="I23" s="18" t="s">
        <v>292</v>
      </c>
      <c r="J23" s="18" t="s">
        <v>304</v>
      </c>
      <c r="K23" s="18" t="s">
        <v>100</v>
      </c>
      <c r="L23" s="18"/>
      <c r="M23" s="17" t="s">
        <v>294</v>
      </c>
      <c r="N23" s="17"/>
      <c r="O23" s="19">
        <v>416215609</v>
      </c>
      <c r="P23" s="19"/>
      <c r="Q23" s="20">
        <v>44764</v>
      </c>
      <c r="R23" s="20">
        <f>+Q23+363</f>
        <v>45127</v>
      </c>
      <c r="S23" s="20"/>
      <c r="T23" s="21">
        <v>45138</v>
      </c>
      <c r="U23" s="21"/>
      <c r="V23" s="21"/>
      <c r="W23" s="21"/>
      <c r="X23" s="21">
        <v>45127</v>
      </c>
      <c r="Y23" s="22">
        <f t="shared" si="5"/>
        <v>11.940789473684211</v>
      </c>
      <c r="Z23" s="22"/>
      <c r="AA23" s="22">
        <f t="shared" si="64"/>
        <v>0</v>
      </c>
      <c r="AB23" s="20">
        <v>45561</v>
      </c>
      <c r="AC23" s="22">
        <f ca="1">IF((AB23-Q23)/30.4&lt;0,(TODAY()-T23)/30.4,(AB23-Q23)/30.4)</f>
        <v>26.217105263157897</v>
      </c>
      <c r="AD23" s="22"/>
      <c r="AE23" s="22">
        <f ca="1">IF((AB23-T23)/30.4&lt;0,(TODAY()-T23)/30.4,(AB23-T23)/30.4)</f>
        <v>13.914473684210527</v>
      </c>
      <c r="AF23" s="22"/>
      <c r="AG23" s="21">
        <f>+X23</f>
        <v>45127</v>
      </c>
      <c r="AH23" s="56">
        <v>45561</v>
      </c>
      <c r="AI23" s="23">
        <f t="shared" si="25"/>
        <v>0</v>
      </c>
      <c r="AJ23" s="23">
        <f t="shared" ca="1" si="6"/>
        <v>13.914473684210527</v>
      </c>
      <c r="AK23" s="23"/>
      <c r="AL23" s="23"/>
      <c r="AM23" s="23"/>
      <c r="AN23" s="23"/>
      <c r="AO23" s="23"/>
      <c r="AP23" s="22">
        <v>2025</v>
      </c>
      <c r="AQ23" s="22">
        <v>2025</v>
      </c>
      <c r="AR23" s="21">
        <v>47178</v>
      </c>
      <c r="AS23" s="49"/>
      <c r="AT23" s="21">
        <v>46838</v>
      </c>
      <c r="AU23" s="49"/>
      <c r="AV23" s="136">
        <v>47092</v>
      </c>
      <c r="AW23" s="26">
        <v>47585</v>
      </c>
      <c r="AX23" s="40"/>
      <c r="AY23" s="40"/>
      <c r="AZ23" s="57" t="s">
        <v>314</v>
      </c>
      <c r="BA23" s="117" t="s">
        <v>315</v>
      </c>
      <c r="BB23" s="37">
        <v>45930</v>
      </c>
      <c r="BC23" s="19">
        <v>2082626</v>
      </c>
      <c r="BD23" s="19">
        <v>48172344</v>
      </c>
      <c r="BE23" s="19">
        <v>18363875</v>
      </c>
      <c r="BF23" s="54">
        <f>(BB23-AH23)/(AQ23)</f>
        <v>0.18222222222222223</v>
      </c>
      <c r="BG23" s="54">
        <f>BD23/O23</f>
        <v>0.11573891742248427</v>
      </c>
      <c r="BH23" s="54">
        <f>BE23/O23</f>
        <v>4.4121062744669912E-2</v>
      </c>
      <c r="BI23" s="31">
        <f>BH23-BG23</f>
        <v>-7.1617854677814355E-2</v>
      </c>
      <c r="BJ23" s="55"/>
      <c r="BK23" s="55">
        <f>IF(AW23="",0,(AW23-AT23)/30.4)</f>
        <v>24.572368421052634</v>
      </c>
      <c r="BL23" s="117" t="s">
        <v>315</v>
      </c>
      <c r="BM23" s="77"/>
      <c r="BN23" s="75" t="s">
        <v>155</v>
      </c>
      <c r="BO23" s="71"/>
      <c r="BP23" s="71"/>
      <c r="BQ23" s="117" t="s">
        <v>315</v>
      </c>
      <c r="BR23" s="107" t="s">
        <v>316</v>
      </c>
      <c r="BS23" s="107"/>
      <c r="BT23" s="103" t="s">
        <v>300</v>
      </c>
      <c r="BU23" s="103" t="s">
        <v>73</v>
      </c>
      <c r="BV23" s="103" t="s">
        <v>110</v>
      </c>
      <c r="BX23" s="104"/>
    </row>
    <row r="24" spans="1:99" ht="34.200000000000003" x14ac:dyDescent="0.6">
      <c r="A24" s="15" t="s">
        <v>90</v>
      </c>
      <c r="B24" s="66" t="s">
        <v>317</v>
      </c>
      <c r="C24" s="15" t="s">
        <v>318</v>
      </c>
      <c r="D24" s="16" t="s">
        <v>319</v>
      </c>
      <c r="E24" s="16" t="s">
        <v>97</v>
      </c>
      <c r="F24" s="59" t="s">
        <v>320</v>
      </c>
      <c r="G24" s="15" t="s">
        <v>143</v>
      </c>
      <c r="H24" s="16" t="s">
        <v>97</v>
      </c>
      <c r="I24" s="18" t="s">
        <v>321</v>
      </c>
      <c r="J24" s="18" t="s">
        <v>322</v>
      </c>
      <c r="K24" s="18"/>
      <c r="L24" s="18" t="s">
        <v>323</v>
      </c>
      <c r="M24" s="17" t="s">
        <v>324</v>
      </c>
      <c r="N24" s="17"/>
      <c r="O24" s="19">
        <v>1033319878.12</v>
      </c>
      <c r="P24" s="19"/>
      <c r="Q24" s="20"/>
      <c r="R24" s="19"/>
      <c r="S24" s="19"/>
      <c r="T24" s="21"/>
      <c r="U24" s="21"/>
      <c r="V24" s="21"/>
      <c r="W24" s="21"/>
      <c r="X24" s="21"/>
      <c r="Y24" s="22">
        <f t="shared" si="5"/>
        <v>0</v>
      </c>
      <c r="Z24" s="22"/>
      <c r="AA24" s="22">
        <f t="shared" si="64"/>
        <v>0</v>
      </c>
      <c r="AB24" s="21">
        <v>44952</v>
      </c>
      <c r="AC24" s="22">
        <f ca="1">IF((AB24-Q24)/30.4&lt;0,(TODAY()-T24)/30.4,(AB24-Q24)/30.4)</f>
        <v>1478.6842105263158</v>
      </c>
      <c r="AD24" s="22"/>
      <c r="AE24" s="22">
        <f ca="1">IF((AB24-T24)/30.4&lt;0,(TODAY()-T24)/30.4,(AB24-T24)/30.4)</f>
        <v>1478.6842105263158</v>
      </c>
      <c r="AF24" s="22"/>
      <c r="AG24" s="21"/>
      <c r="AH24" s="21">
        <f>+AB24</f>
        <v>44952</v>
      </c>
      <c r="AI24" s="23">
        <f t="shared" si="25"/>
        <v>0</v>
      </c>
      <c r="AJ24" s="23">
        <f ca="1">+AI24+AE24</f>
        <v>1478.6842105263158</v>
      </c>
      <c r="AK24" s="23"/>
      <c r="AL24" s="23"/>
      <c r="AM24" s="23"/>
      <c r="AN24" s="23"/>
      <c r="AO24" s="23"/>
      <c r="AP24" s="23"/>
      <c r="AQ24" s="22">
        <v>2291</v>
      </c>
      <c r="AR24" s="21">
        <v>47242</v>
      </c>
      <c r="AS24" s="21">
        <v>47242</v>
      </c>
      <c r="AT24" s="21"/>
      <c r="AU24" s="24"/>
      <c r="AV24" s="21" t="s">
        <v>325</v>
      </c>
      <c r="AW24" s="26"/>
      <c r="AX24" s="124">
        <v>0</v>
      </c>
      <c r="AY24" s="124"/>
      <c r="AZ24" s="28" t="s">
        <v>326</v>
      </c>
      <c r="BA24" s="43"/>
      <c r="BB24" s="37">
        <v>45930</v>
      </c>
      <c r="BC24" s="19">
        <v>10617170.1</v>
      </c>
      <c r="BD24" s="19">
        <v>560506709.38999999</v>
      </c>
      <c r="BE24" s="19">
        <v>259262684.49000001</v>
      </c>
      <c r="BF24" s="30">
        <f t="shared" ref="BF24" si="66">(BB24-AH24)/(AQ24)</f>
        <v>0.42688782191182889</v>
      </c>
      <c r="BG24" s="31">
        <f>BD24/O24</f>
        <v>0.54243291091019541</v>
      </c>
      <c r="BH24" s="31">
        <f>BE24/O24</f>
        <v>0.25090263913406657</v>
      </c>
      <c r="BI24" s="31">
        <f t="shared" si="65"/>
        <v>-0.29153027177612884</v>
      </c>
      <c r="BJ24" s="32">
        <f>IF(AV24="",0,(AV24-AS24)/30.4)</f>
        <v>1.6447368421052633</v>
      </c>
      <c r="BK24" s="32">
        <f>IF(AW24="",0,(AW24-AT24)/30.4)</f>
        <v>0</v>
      </c>
      <c r="BL24" s="33"/>
      <c r="BM24" s="76"/>
      <c r="BN24" s="75" t="str">
        <f>+IF(AW24="",IF(AU24&lt;=BO24,"SI","FUORI"),IF(AW24&lt;=BO24,"SI","FUORI"))</f>
        <v>SI</v>
      </c>
      <c r="BO24" s="71"/>
      <c r="BP24" s="71"/>
      <c r="BQ24" s="106" t="s">
        <v>327</v>
      </c>
      <c r="BR24" s="107" t="s">
        <v>328</v>
      </c>
      <c r="BS24" s="107"/>
      <c r="BT24" s="103" t="s">
        <v>329</v>
      </c>
      <c r="BU24" s="107" t="s">
        <v>330</v>
      </c>
      <c r="BV24" s="103" t="s">
        <v>331</v>
      </c>
    </row>
    <row r="25" spans="1:99" ht="216.6" x14ac:dyDescent="0.6">
      <c r="A25" s="15" t="s">
        <v>332</v>
      </c>
      <c r="B25" s="66" t="s">
        <v>333</v>
      </c>
      <c r="C25" s="66" t="s">
        <v>334</v>
      </c>
      <c r="D25" s="16" t="s">
        <v>335</v>
      </c>
      <c r="E25" s="16" t="s">
        <v>97</v>
      </c>
      <c r="F25" s="59" t="s">
        <v>336</v>
      </c>
      <c r="G25" s="15" t="s">
        <v>174</v>
      </c>
      <c r="H25" s="16" t="s">
        <v>97</v>
      </c>
      <c r="I25" s="18" t="s">
        <v>337</v>
      </c>
      <c r="J25" s="18" t="s">
        <v>338</v>
      </c>
      <c r="K25" s="18" t="s">
        <v>100</v>
      </c>
      <c r="L25" s="18" t="s">
        <v>339</v>
      </c>
      <c r="M25" s="17" t="s">
        <v>340</v>
      </c>
      <c r="N25" s="17"/>
      <c r="O25" s="19">
        <v>970107450.99000001</v>
      </c>
      <c r="P25" s="19"/>
      <c r="Q25" s="20">
        <v>44370</v>
      </c>
      <c r="R25" s="20">
        <f>Q25+200</f>
        <v>44570</v>
      </c>
      <c r="S25" s="20"/>
      <c r="T25" s="21">
        <f>Q25+400</f>
        <v>44770</v>
      </c>
      <c r="U25" s="21"/>
      <c r="V25" s="21"/>
      <c r="W25" s="21"/>
      <c r="X25" s="21">
        <v>44895</v>
      </c>
      <c r="Y25" s="22">
        <f>+(R25-Q25)/30.4</f>
        <v>6.5789473684210531</v>
      </c>
      <c r="Z25" s="22">
        <f>+(T25-Q25)/30.4</f>
        <v>13.157894736842106</v>
      </c>
      <c r="AA25" s="22">
        <f t="shared" si="64"/>
        <v>10.690789473684211</v>
      </c>
      <c r="AB25" s="21">
        <v>45213</v>
      </c>
      <c r="AC25" s="22">
        <f>+(AB25-Q25)/30.4</f>
        <v>27.73026315789474</v>
      </c>
      <c r="AD25" s="22">
        <f>+(T25-R25)/30.4</f>
        <v>6.5789473684210531</v>
      </c>
      <c r="AE25" s="22">
        <f>+(AB25-T25)/30.4</f>
        <v>14.572368421052632</v>
      </c>
      <c r="AF25" s="22">
        <f>+AA25+AE25</f>
        <v>25.263157894736842</v>
      </c>
      <c r="AG25" s="21">
        <v>44895</v>
      </c>
      <c r="AH25" s="21">
        <v>45213</v>
      </c>
      <c r="AI25" s="23">
        <f t="shared" si="25"/>
        <v>0</v>
      </c>
      <c r="AJ25" s="23">
        <f>+AI25+AE25</f>
        <v>14.572368421052632</v>
      </c>
      <c r="AK25" s="23"/>
      <c r="AL25" s="23"/>
      <c r="AM25" s="23"/>
      <c r="AN25" s="23"/>
      <c r="AO25" s="23"/>
      <c r="AP25" s="23">
        <v>2460</v>
      </c>
      <c r="AQ25" s="22">
        <v>2400</v>
      </c>
      <c r="AR25" s="20"/>
      <c r="AS25" s="21">
        <f>AH25+AQ25-1</f>
        <v>47612</v>
      </c>
      <c r="AT25" s="21">
        <f>T25+AP25+180-1</f>
        <v>47409</v>
      </c>
      <c r="AU25" s="21">
        <f>AH25+AQ25+180-1</f>
        <v>47792</v>
      </c>
      <c r="AV25" s="21">
        <v>47612</v>
      </c>
      <c r="AW25" s="26">
        <f>+AU25</f>
        <v>47792</v>
      </c>
      <c r="AX25" s="124">
        <v>2</v>
      </c>
      <c r="AY25" s="124">
        <v>0</v>
      </c>
      <c r="AZ25" s="28" t="s">
        <v>341</v>
      </c>
      <c r="BA25" s="43" t="s">
        <v>342</v>
      </c>
      <c r="BB25" s="37">
        <v>45930</v>
      </c>
      <c r="BC25" s="19">
        <v>4548261</v>
      </c>
      <c r="BD25" s="19">
        <v>145384105</v>
      </c>
      <c r="BE25" s="19">
        <v>57577065</v>
      </c>
      <c r="BF25" s="30">
        <f>(BB25-AH25)/(AQ25)</f>
        <v>0.29875000000000002</v>
      </c>
      <c r="BG25" s="31">
        <f>BD25/O25</f>
        <v>0.14986391956028655</v>
      </c>
      <c r="BH25" s="31">
        <f>BE25/O25</f>
        <v>5.9351224383693051E-2</v>
      </c>
      <c r="BI25" s="31">
        <f>BH25-BG25</f>
        <v>-9.0512695176593494E-2</v>
      </c>
      <c r="BJ25" s="32">
        <f>IF(AV25="",0,(AV25-AS25)/30.4)</f>
        <v>0</v>
      </c>
      <c r="BK25" s="32">
        <f>IF(AW25="",0,(AW25-AT25)/30.4)</f>
        <v>12.598684210526317</v>
      </c>
      <c r="BL25" s="33"/>
      <c r="BM25" s="76">
        <f>+(IF(AW25="",AT25-$K$1,AW25-$K$1))/30.4</f>
        <v>46.743421052631582</v>
      </c>
      <c r="BN25" s="75" t="str">
        <f t="shared" ref="BN25" si="67">+IF(AW25="",IF(AU25&lt;=BO25,"SI","FUORI"),IF(AW25&lt;=BO25,"SI","FUORI"))</f>
        <v>FUORI</v>
      </c>
      <c r="BO25" s="71"/>
      <c r="BP25" s="93"/>
      <c r="BQ25" s="106" t="s">
        <v>343</v>
      </c>
      <c r="BR25" s="107" t="s">
        <v>344</v>
      </c>
      <c r="BS25" s="107"/>
      <c r="BT25" s="107" t="s">
        <v>125</v>
      </c>
      <c r="BU25" s="107" t="s">
        <v>109</v>
      </c>
      <c r="BV25" s="107" t="s">
        <v>269</v>
      </c>
    </row>
    <row r="26" spans="1:99" x14ac:dyDescent="0.6">
      <c r="A26" s="15"/>
      <c r="B26" s="66"/>
      <c r="C26" s="15" t="s">
        <v>345</v>
      </c>
      <c r="D26" s="138" t="s">
        <v>346</v>
      </c>
      <c r="E26" s="16" t="s">
        <v>94</v>
      </c>
      <c r="F26" s="59" t="s">
        <v>347</v>
      </c>
      <c r="G26" s="15"/>
      <c r="H26" s="16"/>
      <c r="I26" s="18" t="s">
        <v>348</v>
      </c>
      <c r="J26" s="18" t="s">
        <v>349</v>
      </c>
      <c r="K26" s="18"/>
      <c r="L26" s="18"/>
      <c r="M26" s="17" t="s">
        <v>350</v>
      </c>
      <c r="N26" s="17"/>
      <c r="O26" s="19">
        <v>6000000000</v>
      </c>
      <c r="P26" s="19"/>
      <c r="Q26" s="20"/>
      <c r="R26" s="19"/>
      <c r="S26" s="19"/>
      <c r="T26" s="21"/>
      <c r="U26" s="21"/>
      <c r="V26" s="21"/>
      <c r="W26" s="21"/>
      <c r="X26" s="21"/>
      <c r="Y26" s="22">
        <f t="shared" si="5"/>
        <v>0</v>
      </c>
      <c r="Z26" s="22"/>
      <c r="AA26" s="22">
        <f t="shared" si="64"/>
        <v>0</v>
      </c>
      <c r="AB26" s="20">
        <v>45251</v>
      </c>
      <c r="AC26" s="22">
        <f ca="1">IF((AB26-Q26)/30.4&lt;0,(TODAY()-T26)/30.4,(AB26-Q26)/30.4)</f>
        <v>1488.5197368421054</v>
      </c>
      <c r="AD26" s="22"/>
      <c r="AE26" s="22">
        <f ca="1">IF((AB26-T26)/30.4&lt;0,(TODAY()-T26)/30.4,(AB26-T26)/30.4)</f>
        <v>1488.5197368421054</v>
      </c>
      <c r="AF26" s="22"/>
      <c r="AG26" s="23"/>
      <c r="AH26" s="20">
        <v>45251</v>
      </c>
      <c r="AI26" s="23">
        <f t="shared" si="25"/>
        <v>0</v>
      </c>
      <c r="AJ26" s="23">
        <f t="shared" ca="1" si="6"/>
        <v>1488.5197368421054</v>
      </c>
      <c r="AK26" s="23"/>
      <c r="AL26" s="23"/>
      <c r="AM26" s="23"/>
      <c r="AN26" s="23"/>
      <c r="AO26" s="23"/>
      <c r="AP26" s="36"/>
      <c r="AQ26" s="36">
        <v>1440</v>
      </c>
      <c r="AR26" s="21"/>
      <c r="AS26" s="21">
        <f>+AB26+AQ26</f>
        <v>46691</v>
      </c>
      <c r="AT26" s="26" t="s">
        <v>1</v>
      </c>
      <c r="AU26" s="43">
        <v>46752</v>
      </c>
      <c r="AV26" s="43"/>
      <c r="AW26" s="40"/>
      <c r="AX26" s="40"/>
      <c r="AY26" s="40"/>
      <c r="AZ26" s="50" t="s">
        <v>351</v>
      </c>
      <c r="BA26" s="19"/>
      <c r="BB26" s="37"/>
      <c r="BC26" s="30"/>
      <c r="BD26" s="31"/>
      <c r="BE26" s="31"/>
      <c r="BF26" s="31"/>
      <c r="BG26" s="32"/>
      <c r="BH26" s="32"/>
      <c r="BI26" s="31">
        <f t="shared" ref="BI26:BI36" si="68">BH26-BG26</f>
        <v>0</v>
      </c>
      <c r="BJ26" s="33"/>
      <c r="BK26" s="51"/>
      <c r="BL26" s="52" t="s">
        <v>352</v>
      </c>
      <c r="BM26" s="77"/>
      <c r="BN26" s="75" t="str">
        <f t="shared" si="11"/>
        <v>FUORI</v>
      </c>
      <c r="BO26" s="71">
        <v>46387</v>
      </c>
      <c r="BP26" s="71"/>
      <c r="BQ26" s="70"/>
    </row>
    <row r="27" spans="1:99" ht="24.3" x14ac:dyDescent="0.6">
      <c r="A27" s="15" t="s">
        <v>332</v>
      </c>
      <c r="B27" s="66"/>
      <c r="C27" s="15" t="s">
        <v>345</v>
      </c>
      <c r="D27" s="138" t="s">
        <v>353</v>
      </c>
      <c r="E27" s="16" t="s">
        <v>94</v>
      </c>
      <c r="F27" s="59" t="s">
        <v>354</v>
      </c>
      <c r="G27" s="15"/>
      <c r="H27" s="16"/>
      <c r="I27" s="18" t="s">
        <v>348</v>
      </c>
      <c r="J27" s="18" t="s">
        <v>355</v>
      </c>
      <c r="K27" s="18"/>
      <c r="L27" s="18"/>
      <c r="M27" s="17" t="s">
        <v>350</v>
      </c>
      <c r="N27" s="17"/>
      <c r="O27" s="19">
        <v>556621847</v>
      </c>
      <c r="P27" s="19"/>
      <c r="Q27" s="20"/>
      <c r="R27" s="19"/>
      <c r="S27" s="19"/>
      <c r="T27" s="21"/>
      <c r="U27" s="21"/>
      <c r="V27" s="21"/>
      <c r="W27" s="21"/>
      <c r="X27" s="21"/>
      <c r="Y27" s="22">
        <f t="shared" si="5"/>
        <v>0</v>
      </c>
      <c r="Z27" s="22"/>
      <c r="AA27" s="22">
        <f t="shared" si="64"/>
        <v>0</v>
      </c>
      <c r="AB27" s="20">
        <v>44918</v>
      </c>
      <c r="AC27" s="22">
        <f ca="1">IF((AB27-Q27)/30.4&lt;0,(TODAY()-T27)/30.4,(AB27-Q27)/30.4)</f>
        <v>1477.5657894736844</v>
      </c>
      <c r="AD27" s="22"/>
      <c r="AE27" s="22">
        <f ca="1">IF((AB27-T27)/30.4&lt;0,(TODAY()-T27)/30.4,(AB27-T27)/30.4)</f>
        <v>1477.5657894736844</v>
      </c>
      <c r="AF27" s="22"/>
      <c r="AG27" s="23"/>
      <c r="AH27" s="20">
        <f>+AB27</f>
        <v>44918</v>
      </c>
      <c r="AI27" s="23">
        <f t="shared" si="25"/>
        <v>0</v>
      </c>
      <c r="AJ27" s="23">
        <f t="shared" ca="1" si="6"/>
        <v>1477.5657894736844</v>
      </c>
      <c r="AK27" s="23"/>
      <c r="AL27" s="23"/>
      <c r="AM27" s="23"/>
      <c r="AN27" s="23"/>
      <c r="AO27" s="23"/>
      <c r="AP27" s="36">
        <v>1300</v>
      </c>
      <c r="AQ27" s="36">
        <f>+AP27</f>
        <v>1300</v>
      </c>
      <c r="AR27" s="21">
        <f>+AP27+AH27</f>
        <v>46218</v>
      </c>
      <c r="AS27" s="21">
        <v>46218</v>
      </c>
      <c r="AT27" s="26">
        <f>+AR27</f>
        <v>46218</v>
      </c>
      <c r="AU27" s="28"/>
      <c r="AV27" s="43">
        <f>+AT27+260</f>
        <v>46478</v>
      </c>
      <c r="AW27" s="43">
        <f>AV27</f>
        <v>46478</v>
      </c>
      <c r="AX27" s="43"/>
      <c r="AY27" s="43"/>
      <c r="AZ27" s="50" t="s">
        <v>356</v>
      </c>
      <c r="BA27" s="19"/>
      <c r="BB27" s="37">
        <v>45291</v>
      </c>
      <c r="BC27" s="19">
        <v>12635122.41</v>
      </c>
      <c r="BD27" s="19">
        <v>344669773.31</v>
      </c>
      <c r="BE27" s="19">
        <v>269602765.04000002</v>
      </c>
      <c r="BF27" s="30" t="s">
        <v>103</v>
      </c>
      <c r="BG27" s="31">
        <f>BD27/O27</f>
        <v>0.61921711331966456</v>
      </c>
      <c r="BH27" s="31">
        <f>BE27/O27</f>
        <v>0.48435534194905583</v>
      </c>
      <c r="BI27" s="31">
        <f t="shared" si="68"/>
        <v>-0.13486177137060873</v>
      </c>
      <c r="BJ27" s="32">
        <f t="shared" ref="BJ27" si="69">IF(AV27="",0,AV27-AS27)</f>
        <v>260</v>
      </c>
      <c r="BK27" s="32">
        <f>IF(AW27="",0,AW27-AT27)</f>
        <v>260</v>
      </c>
      <c r="BL27" s="52" t="s">
        <v>357</v>
      </c>
      <c r="BM27" s="77"/>
      <c r="BN27" s="75" t="str">
        <f t="shared" si="11"/>
        <v>FUORI</v>
      </c>
      <c r="BO27" s="71">
        <v>46387</v>
      </c>
      <c r="BP27" s="71"/>
      <c r="BQ27" s="70"/>
    </row>
    <row r="28" spans="1:99" ht="48" customHeight="1" x14ac:dyDescent="0.6">
      <c r="A28" s="15"/>
      <c r="B28" s="66" t="s">
        <v>358</v>
      </c>
      <c r="C28" s="15" t="s">
        <v>345</v>
      </c>
      <c r="D28" s="138" t="s">
        <v>359</v>
      </c>
      <c r="E28" s="16" t="s">
        <v>94</v>
      </c>
      <c r="F28" s="59" t="s">
        <v>360</v>
      </c>
      <c r="G28" s="15"/>
      <c r="H28" s="16"/>
      <c r="I28" s="18" t="s">
        <v>361</v>
      </c>
      <c r="J28" s="18" t="s">
        <v>362</v>
      </c>
      <c r="K28" s="18"/>
      <c r="L28" s="18"/>
      <c r="M28" s="17"/>
      <c r="N28" s="17"/>
      <c r="O28" s="19">
        <v>2200000000</v>
      </c>
      <c r="P28" s="19"/>
      <c r="Q28" s="20"/>
      <c r="R28" s="19"/>
      <c r="S28" s="19"/>
      <c r="T28" s="21"/>
      <c r="U28" s="21"/>
      <c r="V28" s="21"/>
      <c r="W28" s="21"/>
      <c r="X28" s="21"/>
      <c r="Y28" s="22">
        <f t="shared" si="5"/>
        <v>0</v>
      </c>
      <c r="Z28" s="22"/>
      <c r="AA28" s="22">
        <f t="shared" si="64"/>
        <v>0</v>
      </c>
      <c r="AB28" s="22"/>
      <c r="AC28" s="22">
        <f>+(AB28-Q28)/30.4</f>
        <v>0</v>
      </c>
      <c r="AD28" s="22"/>
      <c r="AE28" s="22">
        <f>+(AB28-T28)/30.4</f>
        <v>0</v>
      </c>
      <c r="AF28" s="22"/>
      <c r="AG28" s="23"/>
      <c r="AH28" s="23"/>
      <c r="AI28" s="23">
        <f t="shared" si="25"/>
        <v>0</v>
      </c>
      <c r="AJ28" s="23">
        <f t="shared" si="6"/>
        <v>0</v>
      </c>
      <c r="AK28" s="23"/>
      <c r="AL28" s="23"/>
      <c r="AM28" s="23"/>
      <c r="AN28" s="23"/>
      <c r="AO28" s="23"/>
      <c r="AP28" s="21"/>
      <c r="AQ28" s="21"/>
      <c r="AR28" s="21"/>
      <c r="AS28" s="21"/>
      <c r="AT28" s="26"/>
      <c r="AU28" s="28"/>
      <c r="AV28" s="43"/>
      <c r="AW28" s="40"/>
      <c r="AX28" s="40"/>
      <c r="AY28" s="40"/>
      <c r="AZ28" s="50"/>
      <c r="BA28" s="19"/>
      <c r="BB28" s="37"/>
      <c r="BC28" s="30"/>
      <c r="BD28" s="31"/>
      <c r="BE28" s="31"/>
      <c r="BF28" s="31"/>
      <c r="BG28" s="32"/>
      <c r="BH28" s="32"/>
      <c r="BI28" s="31">
        <f t="shared" si="68"/>
        <v>0</v>
      </c>
      <c r="BJ28" s="33"/>
      <c r="BK28" s="51"/>
      <c r="BL28" s="38"/>
      <c r="BM28" s="77"/>
      <c r="BN28" s="75" t="str">
        <f t="shared" si="11"/>
        <v>SI</v>
      </c>
      <c r="BO28" s="71">
        <v>46387</v>
      </c>
      <c r="BP28" s="71"/>
      <c r="BQ28" s="70"/>
      <c r="CB28" s="171"/>
      <c r="CC28" s="171"/>
      <c r="CD28" s="172"/>
      <c r="CE28" s="171"/>
    </row>
    <row r="29" spans="1:99" ht="46.8" x14ac:dyDescent="0.55000000000000004">
      <c r="A29" s="15" t="s">
        <v>332</v>
      </c>
      <c r="B29" s="66" t="s">
        <v>363</v>
      </c>
      <c r="C29" s="15" t="s">
        <v>345</v>
      </c>
      <c r="D29" s="16" t="s">
        <v>364</v>
      </c>
      <c r="E29" s="16" t="s">
        <v>94</v>
      </c>
      <c r="F29" s="116" t="s">
        <v>365</v>
      </c>
      <c r="G29" s="15" t="s">
        <v>133</v>
      </c>
      <c r="H29" s="16" t="s">
        <v>97</v>
      </c>
      <c r="I29" s="18" t="s">
        <v>366</v>
      </c>
      <c r="J29" s="18" t="s">
        <v>367</v>
      </c>
      <c r="K29" s="18" t="s">
        <v>368</v>
      </c>
      <c r="L29" s="18" t="s">
        <v>369</v>
      </c>
      <c r="N29" s="18"/>
      <c r="O29" s="19">
        <v>2470000200.7000003</v>
      </c>
      <c r="P29" s="19"/>
      <c r="Q29" s="109"/>
      <c r="R29" s="108"/>
      <c r="S29" s="108"/>
      <c r="T29" s="110"/>
      <c r="U29" s="110"/>
      <c r="V29" s="110"/>
      <c r="W29" s="110"/>
      <c r="X29" s="21"/>
      <c r="Y29" s="111">
        <f t="shared" si="5"/>
        <v>0</v>
      </c>
      <c r="Z29" s="111"/>
      <c r="AA29" s="111">
        <f t="shared" si="64"/>
        <v>0</v>
      </c>
      <c r="AB29" s="20">
        <v>44094</v>
      </c>
      <c r="AC29" s="111">
        <f ca="1">IF((AB29-Q29)/30.4&lt;0,(TODAY()-T29)/30.4,(AB29-Q29)/30.4)</f>
        <v>1450.4605263157896</v>
      </c>
      <c r="AD29" s="111"/>
      <c r="AE29" s="111">
        <f ca="1">IF((AB29-T29)/30.4&lt;0,(TODAY()-T29)/30.4,(AB29-T29)/30.4)</f>
        <v>1450.4605263157896</v>
      </c>
      <c r="AF29" s="111"/>
      <c r="AG29" s="112"/>
      <c r="AH29" s="127">
        <v>44094</v>
      </c>
      <c r="AI29" s="112">
        <f t="shared" si="25"/>
        <v>0</v>
      </c>
      <c r="AJ29" s="112">
        <f t="shared" ca="1" si="6"/>
        <v>1450.4605263157896</v>
      </c>
      <c r="AK29" s="112"/>
      <c r="AL29" s="112"/>
      <c r="AM29" s="112"/>
      <c r="AN29" s="112"/>
      <c r="AO29" s="112"/>
      <c r="AP29" s="36">
        <v>2276</v>
      </c>
      <c r="AQ29" s="36">
        <f>+AP29</f>
        <v>2276</v>
      </c>
      <c r="AR29" s="21">
        <v>46369</v>
      </c>
      <c r="AS29" s="21">
        <v>46369</v>
      </c>
      <c r="AT29" s="26"/>
      <c r="AU29" s="28"/>
      <c r="AV29" s="21">
        <v>46369</v>
      </c>
      <c r="AW29" s="21">
        <v>46338</v>
      </c>
      <c r="AX29" s="21"/>
      <c r="AY29" s="21"/>
      <c r="AZ29" s="50"/>
      <c r="BA29" s="19"/>
      <c r="BB29" s="37">
        <v>45930</v>
      </c>
      <c r="BC29" s="19">
        <v>32081474.079999998</v>
      </c>
      <c r="BD29" s="19">
        <v>2299659635.5799999</v>
      </c>
      <c r="BE29" s="19">
        <v>1600106080.9100001</v>
      </c>
      <c r="BF29" s="30">
        <f>(BB29-AH29)/(AQ29)</f>
        <v>0.80667838312829521</v>
      </c>
      <c r="BG29" s="31">
        <f>BD29/O29</f>
        <v>0.9310362140570978</v>
      </c>
      <c r="BH29" s="31">
        <f t="shared" ref="BH29" si="70">BE29/O29</f>
        <v>0.64781617445072615</v>
      </c>
      <c r="BI29" s="31">
        <f>BH29-BG29</f>
        <v>-0.28322003960637165</v>
      </c>
      <c r="BJ29" s="33"/>
      <c r="BK29" s="51"/>
      <c r="BL29" s="38"/>
      <c r="BM29" s="77"/>
      <c r="BN29" s="75" t="s">
        <v>94</v>
      </c>
      <c r="BO29" s="71">
        <v>46387</v>
      </c>
      <c r="BP29" s="71" t="s">
        <v>140</v>
      </c>
      <c r="BQ29" s="72" t="s">
        <v>370</v>
      </c>
      <c r="BR29" s="107" t="s">
        <v>371</v>
      </c>
      <c r="BS29" s="107"/>
      <c r="BU29" s="114" t="s">
        <v>73</v>
      </c>
      <c r="BV29" s="115" t="s">
        <v>372</v>
      </c>
      <c r="BX29" s="147">
        <v>2086929453</v>
      </c>
      <c r="BY29" s="147">
        <v>1995662378</v>
      </c>
      <c r="BZ29" s="147">
        <v>1478149551</v>
      </c>
      <c r="CB29" s="159">
        <v>1651159000</v>
      </c>
      <c r="CC29" s="159">
        <v>1490240000</v>
      </c>
      <c r="CD29" s="159"/>
      <c r="CE29" s="159">
        <v>1420000000</v>
      </c>
      <c r="CF29" s="190"/>
      <c r="CG29" s="172" t="s">
        <v>373</v>
      </c>
      <c r="CH29" s="185">
        <v>44.25</v>
      </c>
      <c r="CI29" s="186" t="s">
        <v>219</v>
      </c>
      <c r="CK29" s="153">
        <f t="shared" ref="CK29" si="71">+BB29</f>
        <v>45930</v>
      </c>
      <c r="CL29" s="151">
        <f t="shared" ref="CL29" si="72">+O29</f>
        <v>2470000200.7000003</v>
      </c>
      <c r="CN29" s="204">
        <f>+CB29/1000000</f>
        <v>1651.1590000000001</v>
      </c>
      <c r="CO29" s="203">
        <f t="shared" ref="CO29" si="73">+CC29/1000000</f>
        <v>1490.24</v>
      </c>
      <c r="CP29" s="203">
        <f t="shared" ref="CP29" si="74">+CD29/1000000</f>
        <v>0</v>
      </c>
      <c r="CQ29" s="203">
        <f t="shared" ref="CQ29" si="75">+CE29/1000000</f>
        <v>1420</v>
      </c>
      <c r="CR29" s="190"/>
      <c r="CS29" s="172" t="s">
        <v>373</v>
      </c>
      <c r="CT29" s="185">
        <v>44.25</v>
      </c>
      <c r="CU29" s="186" t="s">
        <v>219</v>
      </c>
    </row>
    <row r="30" spans="1:99" ht="22.8" x14ac:dyDescent="0.6">
      <c r="A30" s="15" t="s">
        <v>332</v>
      </c>
      <c r="B30" s="66" t="s">
        <v>374</v>
      </c>
      <c r="C30" s="15" t="s">
        <v>345</v>
      </c>
      <c r="D30" s="16" t="s">
        <v>375</v>
      </c>
      <c r="E30" s="16" t="s">
        <v>97</v>
      </c>
      <c r="F30" s="59" t="s">
        <v>376</v>
      </c>
      <c r="G30" s="15" t="s">
        <v>133</v>
      </c>
      <c r="H30" s="16" t="s">
        <v>97</v>
      </c>
      <c r="I30" s="18" t="s">
        <v>366</v>
      </c>
      <c r="J30" s="18" t="s">
        <v>377</v>
      </c>
      <c r="K30" s="38"/>
      <c r="L30" s="38"/>
      <c r="M30" s="18" t="s">
        <v>369</v>
      </c>
      <c r="N30" s="18"/>
      <c r="O30" s="19">
        <v>1820000000</v>
      </c>
      <c r="P30" s="19"/>
      <c r="Q30" s="109"/>
      <c r="R30" s="108"/>
      <c r="S30" s="108"/>
      <c r="T30" s="110"/>
      <c r="U30" s="110"/>
      <c r="V30" s="110"/>
      <c r="W30" s="110"/>
      <c r="X30" s="21"/>
      <c r="Y30" s="111"/>
      <c r="Z30" s="111"/>
      <c r="AA30" s="111"/>
      <c r="AB30" s="20">
        <v>45179</v>
      </c>
      <c r="AC30" s="111"/>
      <c r="AD30" s="111"/>
      <c r="AE30" s="111"/>
      <c r="AF30" s="111"/>
      <c r="AG30" s="112"/>
      <c r="AH30" s="127">
        <f>+AB30</f>
        <v>45179</v>
      </c>
      <c r="AI30" s="112"/>
      <c r="AJ30" s="112"/>
      <c r="AK30" s="112"/>
      <c r="AL30" s="112"/>
      <c r="AM30" s="112"/>
      <c r="AN30" s="112"/>
      <c r="AO30" s="112"/>
      <c r="AP30" s="36">
        <v>3285</v>
      </c>
      <c r="AQ30" s="134">
        <f>+AS30-AB30</f>
        <v>3100</v>
      </c>
      <c r="AR30" s="21">
        <f>+AB30+AP30-1</f>
        <v>48463</v>
      </c>
      <c r="AS30" s="21">
        <v>48279</v>
      </c>
      <c r="AT30" s="26"/>
      <c r="AU30" s="28"/>
      <c r="AV30" s="43"/>
      <c r="AW30" s="40"/>
      <c r="AX30" s="40"/>
      <c r="AY30" s="40"/>
      <c r="AZ30" s="57" t="s">
        <v>378</v>
      </c>
      <c r="BA30" s="28" t="s">
        <v>379</v>
      </c>
      <c r="BB30" s="37">
        <v>45930</v>
      </c>
      <c r="BC30" s="19">
        <v>4910014.7</v>
      </c>
      <c r="BD30" s="19">
        <v>430047038.02999997</v>
      </c>
      <c r="BE30" s="19">
        <v>417140543.75</v>
      </c>
      <c r="BF30" s="53">
        <f>(BB30-AH30)/(AQ30)</f>
        <v>0.24225806451612902</v>
      </c>
      <c r="BG30" s="54">
        <f>BD30/O30</f>
        <v>0.23628958133516481</v>
      </c>
      <c r="BH30" s="54">
        <f>BE30/O30</f>
        <v>0.22919810096153845</v>
      </c>
      <c r="BI30" s="31">
        <f t="shared" si="68"/>
        <v>-7.0914803736263632E-3</v>
      </c>
      <c r="BJ30" s="33"/>
      <c r="BK30" s="51"/>
      <c r="BL30" s="28" t="s">
        <v>380</v>
      </c>
      <c r="BM30" s="77"/>
      <c r="BN30" s="75" t="str">
        <f t="shared" si="11"/>
        <v>SI</v>
      </c>
      <c r="BO30" s="71"/>
      <c r="BP30" s="71"/>
      <c r="BQ30" s="28" t="s">
        <v>380</v>
      </c>
    </row>
    <row r="31" spans="1:99" ht="91.2" x14ac:dyDescent="0.6">
      <c r="A31" s="15" t="s">
        <v>332</v>
      </c>
      <c r="B31" s="66" t="s">
        <v>382</v>
      </c>
      <c r="C31" s="15" t="s">
        <v>383</v>
      </c>
      <c r="D31" s="16" t="s">
        <v>384</v>
      </c>
      <c r="E31" s="16" t="s">
        <v>97</v>
      </c>
      <c r="F31" s="59" t="s">
        <v>385</v>
      </c>
      <c r="G31" s="15" t="s">
        <v>381</v>
      </c>
      <c r="H31" s="16" t="s">
        <v>94</v>
      </c>
      <c r="I31" s="18" t="s">
        <v>386</v>
      </c>
      <c r="J31" s="18" t="s">
        <v>387</v>
      </c>
      <c r="K31" s="18" t="s">
        <v>100</v>
      </c>
      <c r="L31" s="18" t="s">
        <v>388</v>
      </c>
      <c r="M31" s="17" t="s">
        <v>389</v>
      </c>
      <c r="N31" s="17"/>
      <c r="O31" s="19">
        <v>879924095.51999998</v>
      </c>
      <c r="P31" s="19"/>
      <c r="Q31" s="20">
        <v>44987</v>
      </c>
      <c r="R31" s="20">
        <v>45056</v>
      </c>
      <c r="S31" s="20"/>
      <c r="T31" s="21">
        <v>45336</v>
      </c>
      <c r="U31" s="21"/>
      <c r="V31" s="21"/>
      <c r="W31" s="21"/>
      <c r="X31" s="58">
        <v>45117</v>
      </c>
      <c r="Y31" s="22">
        <f t="shared" ref="Y31:Y32" si="76">+(R31-Q31)/30.4</f>
        <v>2.2697368421052633</v>
      </c>
      <c r="Z31" s="22">
        <f t="shared" ref="Z31:Z32" si="77">+(T31-Q31)/30.4</f>
        <v>11.480263157894738</v>
      </c>
      <c r="AA31" s="22">
        <f>+(X31-R31)/30.4</f>
        <v>2.0065789473684212</v>
      </c>
      <c r="AB31" s="21"/>
      <c r="AC31" s="22">
        <f>ABS(AB31-Q31)/30.4</f>
        <v>1479.8355263157896</v>
      </c>
      <c r="AD31" s="22">
        <f>+(T31-R31)/30.4</f>
        <v>9.2105263157894743</v>
      </c>
      <c r="AE31" s="22">
        <f>+ABS(AB31-T31)/30.4</f>
        <v>1491.3157894736844</v>
      </c>
      <c r="AF31" s="22">
        <f>+AA31+AE31</f>
        <v>1493.3223684210527</v>
      </c>
      <c r="AG31" s="21">
        <f>+Q31</f>
        <v>44987</v>
      </c>
      <c r="AH31" s="21">
        <v>45857</v>
      </c>
      <c r="AI31" s="23">
        <f>+(AH31-AB31)/30.4</f>
        <v>1508.453947368421</v>
      </c>
      <c r="AJ31" s="23">
        <f t="shared" si="6"/>
        <v>2999.7697368421054</v>
      </c>
      <c r="AK31" s="23"/>
      <c r="AL31" s="23"/>
      <c r="AM31" s="23"/>
      <c r="AN31" s="23"/>
      <c r="AO31" s="23"/>
      <c r="AP31" s="22">
        <v>1243</v>
      </c>
      <c r="AQ31" s="22">
        <v>1791</v>
      </c>
      <c r="AR31" s="20">
        <f>+AG31+AP31-1</f>
        <v>46229</v>
      </c>
      <c r="AS31" s="21">
        <f>+AR31</f>
        <v>46229</v>
      </c>
      <c r="AT31" s="21">
        <f>+AS31+180-1</f>
        <v>46408</v>
      </c>
      <c r="AU31" s="21"/>
      <c r="AV31" s="21">
        <f>+AS31</f>
        <v>46229</v>
      </c>
      <c r="AW31" s="26">
        <f>+AT31</f>
        <v>46408</v>
      </c>
      <c r="AX31" s="124">
        <v>1</v>
      </c>
      <c r="AY31" s="124">
        <v>610</v>
      </c>
      <c r="AZ31" s="28" t="s">
        <v>390</v>
      </c>
      <c r="BA31" s="43" t="s">
        <v>391</v>
      </c>
      <c r="BB31" s="37">
        <v>45930</v>
      </c>
      <c r="BC31" s="220">
        <v>1180211.56</v>
      </c>
      <c r="BD31" s="19">
        <v>96034695.920000002</v>
      </c>
      <c r="BE31" s="19">
        <f>13882751.56+BC31</f>
        <v>15062963.120000001</v>
      </c>
      <c r="BF31" s="53">
        <f>(BB31-AG31)/(AQ31)</f>
        <v>0.52652149637074264</v>
      </c>
      <c r="BG31" s="54">
        <f>BD31/O31</f>
        <v>0.10913975013179669</v>
      </c>
      <c r="BH31" s="54">
        <f>BE31/O31</f>
        <v>1.7118480101511929E-2</v>
      </c>
      <c r="BI31" s="31">
        <f t="shared" si="68"/>
        <v>-9.2021270030284763E-2</v>
      </c>
      <c r="BJ31" s="55"/>
      <c r="BK31" s="55"/>
      <c r="BL31" s="33" t="s">
        <v>392</v>
      </c>
      <c r="BM31" s="76"/>
      <c r="BN31" s="75" t="str">
        <f t="shared" si="11"/>
        <v>FUORI</v>
      </c>
      <c r="BO31" s="71">
        <v>46387</v>
      </c>
      <c r="BP31" s="71"/>
      <c r="BQ31" s="101" t="s">
        <v>393</v>
      </c>
      <c r="BR31" s="103" t="s">
        <v>394</v>
      </c>
      <c r="BS31" s="103"/>
      <c r="BT31" s="103" t="s">
        <v>230</v>
      </c>
      <c r="BU31" s="103" t="s">
        <v>73</v>
      </c>
      <c r="BV31" s="103" t="s">
        <v>74</v>
      </c>
    </row>
    <row r="32" spans="1:99" ht="47.7" x14ac:dyDescent="0.6">
      <c r="A32" s="15" t="s">
        <v>332</v>
      </c>
      <c r="B32" s="66" t="s">
        <v>395</v>
      </c>
      <c r="C32" s="15" t="s">
        <v>396</v>
      </c>
      <c r="D32" s="16" t="s">
        <v>397</v>
      </c>
      <c r="E32" s="16" t="s">
        <v>94</v>
      </c>
      <c r="F32" s="18" t="s">
        <v>398</v>
      </c>
      <c r="G32" s="15" t="s">
        <v>399</v>
      </c>
      <c r="H32" s="18" t="s">
        <v>97</v>
      </c>
      <c r="I32" s="18" t="s">
        <v>400</v>
      </c>
      <c r="J32" s="18" t="s">
        <v>401</v>
      </c>
      <c r="K32" s="18"/>
      <c r="L32" s="18"/>
      <c r="M32" s="17" t="s">
        <v>402</v>
      </c>
      <c r="N32" s="17"/>
      <c r="O32" s="19">
        <v>108986156.23999982</v>
      </c>
      <c r="P32" s="19"/>
      <c r="Q32" s="20">
        <v>45124</v>
      </c>
      <c r="R32" s="20">
        <v>45294</v>
      </c>
      <c r="S32" s="134">
        <v>538</v>
      </c>
      <c r="T32" s="21">
        <v>45352</v>
      </c>
      <c r="U32" s="134">
        <v>541</v>
      </c>
      <c r="V32" s="21"/>
      <c r="W32" s="21"/>
      <c r="X32" s="21">
        <v>45325</v>
      </c>
      <c r="Y32" s="22">
        <f t="shared" si="76"/>
        <v>5.5921052631578947</v>
      </c>
      <c r="Z32" s="22">
        <f t="shared" si="77"/>
        <v>7.5</v>
      </c>
      <c r="AA32" s="22">
        <f>+(X32-R32)/30.4</f>
        <v>1.0197368421052633</v>
      </c>
      <c r="AB32" s="21">
        <v>45484</v>
      </c>
      <c r="AC32" s="22">
        <f>+(AB32-Q32)/30.4</f>
        <v>11.842105263157896</v>
      </c>
      <c r="AD32" s="22">
        <f>+(T32-R32)/30.4</f>
        <v>1.9078947368421053</v>
      </c>
      <c r="AE32" s="22">
        <f>+(AB32-T32)/30.4</f>
        <v>4.3421052631578947</v>
      </c>
      <c r="AF32" s="22">
        <f>+AA32+AE32</f>
        <v>5.3618421052631575</v>
      </c>
      <c r="AG32" s="21">
        <v>45325</v>
      </c>
      <c r="AH32" s="21">
        <v>45484</v>
      </c>
      <c r="AI32" s="23"/>
      <c r="AJ32" s="23"/>
      <c r="AK32" s="23"/>
      <c r="AL32" s="23"/>
      <c r="AM32" s="23"/>
      <c r="AN32" s="23"/>
      <c r="AO32" s="23"/>
      <c r="AP32" s="22">
        <v>541</v>
      </c>
      <c r="AQ32" s="22">
        <f>541+78</f>
        <v>619</v>
      </c>
      <c r="AR32" s="20">
        <f>+AH32+AP32</f>
        <v>46025</v>
      </c>
      <c r="AS32" s="21">
        <f>+AH32+AQ32</f>
        <v>46103</v>
      </c>
      <c r="AT32" s="21">
        <v>46203</v>
      </c>
      <c r="AU32" s="21">
        <v>46287</v>
      </c>
      <c r="AV32" s="21"/>
      <c r="AW32" s="26">
        <v>46536</v>
      </c>
      <c r="AX32" s="126">
        <v>1</v>
      </c>
      <c r="AY32" s="124">
        <v>78</v>
      </c>
      <c r="AZ32" s="28" t="s">
        <v>403</v>
      </c>
      <c r="BA32" s="106" t="s">
        <v>404</v>
      </c>
      <c r="BB32" s="37">
        <v>45901</v>
      </c>
      <c r="BC32" s="19"/>
      <c r="BD32" s="19"/>
      <c r="BE32" s="19"/>
      <c r="BF32" s="53"/>
      <c r="BG32" s="62">
        <f>+BD32/O32</f>
        <v>0</v>
      </c>
      <c r="BH32" s="54">
        <f>+BE32/O32</f>
        <v>0</v>
      </c>
      <c r="BI32" s="31">
        <f t="shared" si="68"/>
        <v>0</v>
      </c>
      <c r="BJ32" s="55"/>
      <c r="BK32" s="55"/>
      <c r="BL32" s="33" t="s">
        <v>405</v>
      </c>
      <c r="BM32" s="76"/>
      <c r="BN32" s="75" t="str">
        <f t="shared" si="11"/>
        <v>FUORI</v>
      </c>
      <c r="BO32" s="71">
        <v>46203</v>
      </c>
      <c r="BP32" s="71" t="s">
        <v>406</v>
      </c>
      <c r="BQ32" s="106" t="s">
        <v>407</v>
      </c>
      <c r="BR32" s="107" t="s">
        <v>408</v>
      </c>
      <c r="BS32" s="107"/>
      <c r="BT32" s="104"/>
      <c r="BU32" s="104"/>
      <c r="BV32" s="104"/>
      <c r="BX32" s="228">
        <v>108986156.23999982</v>
      </c>
      <c r="CB32" s="228">
        <v>108986156.23999982</v>
      </c>
      <c r="CC32" s="245">
        <v>11868410.93</v>
      </c>
      <c r="CD32" s="150" t="s">
        <v>409</v>
      </c>
      <c r="CE32" s="186" t="s">
        <v>410</v>
      </c>
      <c r="CF32" s="195"/>
      <c r="CG32" s="252" t="s">
        <v>411</v>
      </c>
      <c r="CH32" s="164">
        <v>5</v>
      </c>
      <c r="CI32" s="164" t="s">
        <v>112</v>
      </c>
      <c r="CK32" s="153">
        <f>+BB32</f>
        <v>45901</v>
      </c>
      <c r="CL32" s="151">
        <f t="shared" ref="CL32" si="78">+O32</f>
        <v>108986156.23999982</v>
      </c>
      <c r="CN32" s="169"/>
      <c r="CO32" s="186" t="s">
        <v>409</v>
      </c>
      <c r="CP32" s="150" t="s">
        <v>409</v>
      </c>
      <c r="CQ32" s="186" t="s">
        <v>412</v>
      </c>
      <c r="CR32" s="195"/>
      <c r="CS32" s="196" t="s">
        <v>413</v>
      </c>
      <c r="CT32" s="169"/>
      <c r="CU32" s="181"/>
    </row>
    <row r="33" spans="1:99" ht="58" customHeight="1" x14ac:dyDescent="0.45">
      <c r="A33" s="15" t="s">
        <v>332</v>
      </c>
      <c r="B33" s="66" t="s">
        <v>414</v>
      </c>
      <c r="C33" s="15" t="s">
        <v>415</v>
      </c>
      <c r="D33" s="16" t="s">
        <v>416</v>
      </c>
      <c r="E33" s="67" t="s">
        <v>94</v>
      </c>
      <c r="F33" s="206" t="s">
        <v>417</v>
      </c>
      <c r="G33" s="15" t="s">
        <v>399</v>
      </c>
      <c r="H33" s="130" t="s">
        <v>97</v>
      </c>
      <c r="I33" s="18" t="s">
        <v>400</v>
      </c>
      <c r="J33" s="18" t="s">
        <v>418</v>
      </c>
      <c r="K33" s="18"/>
      <c r="L33" s="18"/>
      <c r="M33" s="17" t="s">
        <v>402</v>
      </c>
      <c r="N33" s="17"/>
      <c r="O33" s="19">
        <v>189675369.97</v>
      </c>
      <c r="P33" s="19"/>
      <c r="Q33" s="20">
        <v>45075</v>
      </c>
      <c r="R33" s="20"/>
      <c r="S33" s="134"/>
      <c r="T33" s="21">
        <f>+Q33+240</f>
        <v>45315</v>
      </c>
      <c r="U33" s="134"/>
      <c r="V33" s="21"/>
      <c r="W33" s="21"/>
      <c r="X33" s="21">
        <v>45484</v>
      </c>
      <c r="Y33" s="22"/>
      <c r="Z33" s="22"/>
      <c r="AA33" s="22"/>
      <c r="AB33" s="21" t="s">
        <v>419</v>
      </c>
      <c r="AC33" s="22">
        <f>+(AB33-Q33)/30.4</f>
        <v>16.940789473684212</v>
      </c>
      <c r="AD33" s="22"/>
      <c r="AE33" s="22"/>
      <c r="AF33" s="22"/>
      <c r="AG33" s="21">
        <v>45484</v>
      </c>
      <c r="AH33" s="21">
        <v>45484</v>
      </c>
      <c r="AI33" s="23"/>
      <c r="AJ33" s="23"/>
      <c r="AK33" s="23"/>
      <c r="AL33" s="23"/>
      <c r="AM33" s="23"/>
      <c r="AN33" s="23"/>
      <c r="AO33" s="23"/>
      <c r="AP33" s="22">
        <v>995</v>
      </c>
      <c r="AQ33" s="22">
        <f>995+81</f>
        <v>1076</v>
      </c>
      <c r="AR33" s="20">
        <f>+AP33+T33</f>
        <v>46310</v>
      </c>
      <c r="AS33" s="21">
        <f>+AP33+X33+81</f>
        <v>46560</v>
      </c>
      <c r="AT33" s="21">
        <v>46387</v>
      </c>
      <c r="AU33" s="21">
        <v>46464</v>
      </c>
      <c r="AV33" s="21"/>
      <c r="AW33" s="26">
        <v>46886</v>
      </c>
      <c r="AX33" s="126" t="s">
        <v>420</v>
      </c>
      <c r="AY33" s="124">
        <v>81</v>
      </c>
      <c r="AZ33" s="28" t="s">
        <v>421</v>
      </c>
      <c r="BA33" s="113" t="s">
        <v>422</v>
      </c>
      <c r="BB33" s="37">
        <v>45901</v>
      </c>
      <c r="BC33" s="19"/>
      <c r="BD33" s="19"/>
      <c r="BE33" s="19"/>
      <c r="BF33" s="53"/>
      <c r="BG33" s="62">
        <f>+BD33/O33</f>
        <v>0</v>
      </c>
      <c r="BH33" s="54">
        <f>+BE33/O33</f>
        <v>0</v>
      </c>
      <c r="BI33" s="31">
        <f>BH33-BG33</f>
        <v>0</v>
      </c>
      <c r="BJ33" s="55"/>
      <c r="BK33" s="55"/>
      <c r="BL33" s="33" t="s">
        <v>423</v>
      </c>
      <c r="BM33" s="76"/>
      <c r="BN33" s="75" t="str">
        <f>+IF(AW33="",IF(AU33&lt;=BO33,"SI","FUORI"),IF(AW33&lt;=BO33,"SI","FUORI"))</f>
        <v>FUORI</v>
      </c>
      <c r="BO33" s="71">
        <v>46204</v>
      </c>
      <c r="BP33" s="71" t="s">
        <v>424</v>
      </c>
      <c r="BQ33" s="113" t="s">
        <v>425</v>
      </c>
      <c r="BR33" s="103" t="s">
        <v>426</v>
      </c>
      <c r="BS33" s="103"/>
      <c r="BT33" s="104"/>
      <c r="BU33" s="104"/>
      <c r="BV33" s="104"/>
      <c r="BX33" s="146">
        <v>123777284.59</v>
      </c>
      <c r="BY33" s="146"/>
      <c r="BZ33" s="146"/>
      <c r="CB33" s="192">
        <v>32801446.52</v>
      </c>
      <c r="CC33" s="192" t="s">
        <v>427</v>
      </c>
      <c r="CD33" s="171">
        <v>923241.99</v>
      </c>
      <c r="CE33" s="192" t="s">
        <v>428</v>
      </c>
      <c r="CF33" s="193"/>
      <c r="CG33" s="244" t="s">
        <v>429</v>
      </c>
      <c r="CH33" s="194">
        <v>10.199999999999999</v>
      </c>
      <c r="CI33" s="186" t="s">
        <v>430</v>
      </c>
      <c r="CK33" s="153">
        <f t="shared" ref="CK33" si="79">+BB33</f>
        <v>45901</v>
      </c>
      <c r="CL33" s="151">
        <f t="shared" ref="CL33" si="80">+O33</f>
        <v>189675369.97</v>
      </c>
      <c r="CN33" s="204">
        <f>+CB33/1000000</f>
        <v>32.801446519999999</v>
      </c>
      <c r="CO33" s="203">
        <f t="shared" ref="CO33" si="81">+CC33/1000000</f>
        <v>18.696337270000001</v>
      </c>
      <c r="CP33" s="203">
        <f t="shared" ref="CP33" si="82">+CD33/1000000</f>
        <v>0.92324198999999996</v>
      </c>
      <c r="CQ33" s="203">
        <f t="shared" ref="CQ33" si="83">+CE33/1000000</f>
        <v>9.2447164199999996</v>
      </c>
      <c r="CR33" s="193"/>
      <c r="CS33" s="244" t="s">
        <v>431</v>
      </c>
      <c r="CT33" s="194">
        <v>10.199999999999999</v>
      </c>
      <c r="CU33" s="186" t="s">
        <v>430</v>
      </c>
    </row>
    <row r="34" spans="1:99" ht="33" customHeight="1" x14ac:dyDescent="0.6">
      <c r="A34" s="15" t="s">
        <v>332</v>
      </c>
      <c r="B34" s="66" t="s">
        <v>333</v>
      </c>
      <c r="C34" s="15" t="s">
        <v>383</v>
      </c>
      <c r="D34" s="16" t="s">
        <v>434</v>
      </c>
      <c r="E34" s="16" t="s">
        <v>94</v>
      </c>
      <c r="F34" s="18" t="s">
        <v>435</v>
      </c>
      <c r="G34" s="15" t="s">
        <v>381</v>
      </c>
      <c r="H34" s="18" t="s">
        <v>97</v>
      </c>
      <c r="I34" s="18" t="s">
        <v>386</v>
      </c>
      <c r="J34" s="18" t="s">
        <v>436</v>
      </c>
      <c r="K34" s="18" t="s">
        <v>100</v>
      </c>
      <c r="L34" s="18"/>
      <c r="M34" s="17" t="s">
        <v>177</v>
      </c>
      <c r="N34" s="17"/>
      <c r="O34" s="19">
        <v>131398336.73999999</v>
      </c>
      <c r="P34" s="19"/>
      <c r="Q34" s="20">
        <v>45103</v>
      </c>
      <c r="R34" s="20">
        <v>45182</v>
      </c>
      <c r="S34" s="20"/>
      <c r="T34" s="21">
        <v>45371</v>
      </c>
      <c r="U34" s="21"/>
      <c r="V34" s="21">
        <v>45473</v>
      </c>
      <c r="W34" s="21">
        <v>45507</v>
      </c>
      <c r="X34" s="21">
        <v>45474</v>
      </c>
      <c r="Y34" s="22">
        <f>+(X34-R34)/30.4</f>
        <v>9.6052631578947381</v>
      </c>
      <c r="Z34" s="22"/>
      <c r="AA34" s="22">
        <f>+(X34-R34)/30.4</f>
        <v>9.6052631578947381</v>
      </c>
      <c r="AB34" s="21">
        <v>45566</v>
      </c>
      <c r="AC34" s="22">
        <f>ABS(AB34-Q34)/30.4</f>
        <v>15.230263157894738</v>
      </c>
      <c r="AD34" s="22"/>
      <c r="AE34" s="22">
        <f>+ABS(AB34-T34)/30.4</f>
        <v>6.4144736842105265</v>
      </c>
      <c r="AF34" s="22"/>
      <c r="AG34" s="21">
        <f>+X34</f>
        <v>45474</v>
      </c>
      <c r="AH34" s="21">
        <f>+AB34</f>
        <v>45566</v>
      </c>
      <c r="AI34" s="23">
        <f>+(AH34-AB34)/30.4</f>
        <v>0</v>
      </c>
      <c r="AJ34" s="23">
        <f>+AI34+AE34</f>
        <v>6.4144736842105265</v>
      </c>
      <c r="AK34" s="23"/>
      <c r="AL34" s="23"/>
      <c r="AM34" s="23"/>
      <c r="AN34" s="23"/>
      <c r="AO34" s="23"/>
      <c r="AP34" s="22">
        <v>1009</v>
      </c>
      <c r="AQ34" s="22">
        <v>1009</v>
      </c>
      <c r="AR34" s="20">
        <f>+AP34+T34</f>
        <v>46380</v>
      </c>
      <c r="AS34" s="20">
        <f>+AQ34+W34</f>
        <v>46516</v>
      </c>
      <c r="AT34" s="21">
        <f>+AR34+150</f>
        <v>46530</v>
      </c>
      <c r="AU34" s="21">
        <f>+AS34+150</f>
        <v>46666</v>
      </c>
      <c r="AV34" s="21">
        <f>+W34+AP34</f>
        <v>46516</v>
      </c>
      <c r="AW34" s="26">
        <f>+AT34</f>
        <v>46530</v>
      </c>
      <c r="AX34" s="26"/>
      <c r="AY34" s="26"/>
      <c r="AZ34" s="28" t="s">
        <v>437</v>
      </c>
      <c r="BA34" s="43" t="s">
        <v>438</v>
      </c>
      <c r="BB34" s="37">
        <v>45930</v>
      </c>
      <c r="BC34" s="221">
        <v>3676621.41</v>
      </c>
      <c r="BD34" s="19">
        <v>80772496.129999995</v>
      </c>
      <c r="BE34" s="19">
        <v>25292183.719999999</v>
      </c>
      <c r="BF34" s="53">
        <f>(BB34-AG34)/(AQ34)</f>
        <v>0.45193260654112982</v>
      </c>
      <c r="BG34" s="54">
        <f>BD34/O34</f>
        <v>0.61471475312374646</v>
      </c>
      <c r="BH34" s="54">
        <f>BE34/O34</f>
        <v>0.19248480876927726</v>
      </c>
      <c r="BI34" s="31">
        <f t="shared" si="68"/>
        <v>-0.4222299443544692</v>
      </c>
      <c r="BJ34" s="55"/>
      <c r="BK34" s="55"/>
      <c r="BL34" s="251" t="s">
        <v>439</v>
      </c>
      <c r="BM34" s="76"/>
      <c r="BN34" s="75" t="str">
        <f>+IF(AW34="",IF(AU34&lt;=BO34,"SI","FUORI"),IF(AW34&lt;=BO34,"SI","FUORI"))</f>
        <v>FUORI</v>
      </c>
      <c r="BO34" s="71">
        <v>46387</v>
      </c>
      <c r="BP34" s="71"/>
      <c r="BQ34" s="106" t="s">
        <v>440</v>
      </c>
      <c r="BR34" s="103" t="s">
        <v>441</v>
      </c>
      <c r="BS34" s="103"/>
      <c r="CB34" s="178" t="s">
        <v>409</v>
      </c>
      <c r="CC34" s="178" t="s">
        <v>409</v>
      </c>
      <c r="CD34" s="178" t="s">
        <v>409</v>
      </c>
      <c r="CE34" s="178" t="s">
        <v>412</v>
      </c>
      <c r="CF34" s="178"/>
      <c r="CG34" s="179" t="s">
        <v>442</v>
      </c>
      <c r="CH34" s="162"/>
      <c r="CI34" s="186" t="s">
        <v>1</v>
      </c>
      <c r="CN34" s="178" t="s">
        <v>409</v>
      </c>
      <c r="CO34" s="178" t="s">
        <v>409</v>
      </c>
      <c r="CP34" s="178" t="s">
        <v>409</v>
      </c>
      <c r="CQ34" s="178" t="s">
        <v>412</v>
      </c>
      <c r="CR34" s="178"/>
      <c r="CS34" s="179" t="s">
        <v>442</v>
      </c>
      <c r="CT34" s="162"/>
    </row>
    <row r="35" spans="1:99" ht="28.5" customHeight="1" x14ac:dyDescent="0.6">
      <c r="A35" s="15" t="s">
        <v>332</v>
      </c>
      <c r="B35" s="66" t="s">
        <v>333</v>
      </c>
      <c r="C35" s="15" t="s">
        <v>383</v>
      </c>
      <c r="D35" s="16" t="s">
        <v>443</v>
      </c>
      <c r="E35" s="16" t="s">
        <v>94</v>
      </c>
      <c r="F35" s="18" t="s">
        <v>444</v>
      </c>
      <c r="G35" s="15" t="s">
        <v>381</v>
      </c>
      <c r="H35" s="18" t="s">
        <v>97</v>
      </c>
      <c r="I35" s="18" t="s">
        <v>386</v>
      </c>
      <c r="J35" s="18" t="s">
        <v>436</v>
      </c>
      <c r="K35" s="18" t="s">
        <v>100</v>
      </c>
      <c r="L35" s="18"/>
      <c r="M35" s="17" t="s">
        <v>445</v>
      </c>
      <c r="N35" s="17"/>
      <c r="O35" s="19">
        <v>25474625.07</v>
      </c>
      <c r="P35" s="19"/>
      <c r="Q35" s="20">
        <v>45050</v>
      </c>
      <c r="R35" s="20">
        <v>45294</v>
      </c>
      <c r="S35" s="20"/>
      <c r="T35" s="20">
        <v>45294</v>
      </c>
      <c r="U35" s="36">
        <v>1319</v>
      </c>
      <c r="V35" s="21"/>
      <c r="W35" s="21">
        <v>45632</v>
      </c>
      <c r="X35" s="21">
        <v>45632</v>
      </c>
      <c r="Y35" s="22"/>
      <c r="Z35" s="22">
        <f>+(T35-Q35)/30.4</f>
        <v>8.026315789473685</v>
      </c>
      <c r="AA35" s="22"/>
      <c r="AB35" s="21">
        <v>45632</v>
      </c>
      <c r="AC35" s="22"/>
      <c r="AD35" s="22"/>
      <c r="AE35" s="22"/>
      <c r="AF35" s="22"/>
      <c r="AG35" s="21">
        <f>+X35</f>
        <v>45632</v>
      </c>
      <c r="AH35" s="21">
        <f>+AB35</f>
        <v>45632</v>
      </c>
      <c r="AI35" s="23">
        <f>+(AH35-AB35)/30.4</f>
        <v>0</v>
      </c>
      <c r="AJ35" s="23"/>
      <c r="AK35" s="23"/>
      <c r="AL35" s="23"/>
      <c r="AM35" s="23"/>
      <c r="AN35" s="23"/>
      <c r="AO35" s="23"/>
      <c r="AP35" s="22">
        <v>1319</v>
      </c>
      <c r="AQ35" s="22">
        <v>1319</v>
      </c>
      <c r="AR35" s="20">
        <f>+AP35+T35</f>
        <v>46613</v>
      </c>
      <c r="AS35" s="20">
        <f>+AQ35+W35</f>
        <v>46951</v>
      </c>
      <c r="AT35" s="21">
        <f>+AR35+150</f>
        <v>46763</v>
      </c>
      <c r="AU35" s="21">
        <f>+AS35+150</f>
        <v>47101</v>
      </c>
      <c r="AV35" s="21">
        <f>+W35+AP35</f>
        <v>46951</v>
      </c>
      <c r="AW35" s="26">
        <f>+AT35</f>
        <v>46763</v>
      </c>
      <c r="AX35" s="26"/>
      <c r="AY35" s="26"/>
      <c r="AZ35" s="28"/>
      <c r="BA35" s="43" t="s">
        <v>446</v>
      </c>
      <c r="BB35" s="37">
        <v>45930</v>
      </c>
      <c r="BC35" s="221">
        <f>88178.17-2390.7</f>
        <v>85787.47</v>
      </c>
      <c r="BD35" s="19">
        <v>6488131</v>
      </c>
      <c r="BE35" s="19">
        <v>1248269.77</v>
      </c>
      <c r="BF35" s="53">
        <f>(BB35-AG35)/(AQ35)</f>
        <v>0.22592873388931009</v>
      </c>
      <c r="BG35" s="54">
        <f>BD35/O35</f>
        <v>0.254689950575198</v>
      </c>
      <c r="BH35" s="54">
        <f>BE35/O35</f>
        <v>4.9000515869025117E-2</v>
      </c>
      <c r="BI35" s="31">
        <f t="shared" si="68"/>
        <v>-0.20568943470617287</v>
      </c>
      <c r="BJ35" s="55"/>
      <c r="BK35" s="55"/>
      <c r="BL35" s="33"/>
      <c r="BM35" s="76"/>
      <c r="BN35" s="75" t="s">
        <v>155</v>
      </c>
      <c r="BO35" s="71"/>
      <c r="BP35" s="71"/>
      <c r="BQ35" s="106" t="s">
        <v>447</v>
      </c>
      <c r="BR35" s="103" t="s">
        <v>448</v>
      </c>
      <c r="BS35" s="103"/>
      <c r="CB35" s="175" t="s">
        <v>409</v>
      </c>
      <c r="CC35" s="175" t="s">
        <v>409</v>
      </c>
      <c r="CD35" s="175" t="s">
        <v>409</v>
      </c>
      <c r="CE35" s="175" t="s">
        <v>412</v>
      </c>
      <c r="CF35" s="175"/>
      <c r="CG35" s="176" t="s">
        <v>442</v>
      </c>
      <c r="CH35" s="177"/>
      <c r="CI35" s="186" t="s">
        <v>1</v>
      </c>
      <c r="CN35" s="175" t="s">
        <v>409</v>
      </c>
      <c r="CO35" s="175" t="s">
        <v>409</v>
      </c>
      <c r="CP35" s="175" t="s">
        <v>409</v>
      </c>
      <c r="CQ35" s="175" t="s">
        <v>412</v>
      </c>
      <c r="CR35" s="175"/>
      <c r="CS35" s="176" t="s">
        <v>442</v>
      </c>
      <c r="CT35" s="177"/>
    </row>
    <row r="36" spans="1:99" ht="27.75" customHeight="1" x14ac:dyDescent="0.6">
      <c r="A36" s="15" t="s">
        <v>332</v>
      </c>
      <c r="B36" s="66" t="s">
        <v>333</v>
      </c>
      <c r="C36" s="15" t="s">
        <v>383</v>
      </c>
      <c r="D36" s="16" t="s">
        <v>449</v>
      </c>
      <c r="E36" s="16" t="s">
        <v>94</v>
      </c>
      <c r="F36" s="18" t="s">
        <v>450</v>
      </c>
      <c r="G36" s="15" t="s">
        <v>381</v>
      </c>
      <c r="H36" s="18" t="s">
        <v>97</v>
      </c>
      <c r="I36" s="18" t="s">
        <v>386</v>
      </c>
      <c r="J36" s="18" t="s">
        <v>436</v>
      </c>
      <c r="K36" s="18" t="s">
        <v>100</v>
      </c>
      <c r="L36" s="18"/>
      <c r="M36" s="17" t="s">
        <v>451</v>
      </c>
      <c r="N36" s="17"/>
      <c r="O36" s="19">
        <v>73167074.170000002</v>
      </c>
      <c r="P36" s="19"/>
      <c r="Q36" s="20">
        <v>45274</v>
      </c>
      <c r="R36" s="20">
        <v>45618</v>
      </c>
      <c r="S36" s="20"/>
      <c r="T36" s="21">
        <v>45618</v>
      </c>
      <c r="U36" s="36">
        <v>1684</v>
      </c>
      <c r="V36" s="21"/>
      <c r="W36" s="21">
        <v>45618</v>
      </c>
      <c r="X36" s="21">
        <v>45618</v>
      </c>
      <c r="Y36" s="22"/>
      <c r="Z36" s="22"/>
      <c r="AA36" s="22"/>
      <c r="AB36" s="21">
        <v>45618</v>
      </c>
      <c r="AC36" s="22"/>
      <c r="AD36" s="22"/>
      <c r="AE36" s="22"/>
      <c r="AF36" s="22"/>
      <c r="AG36" s="21">
        <f>+X36</f>
        <v>45618</v>
      </c>
      <c r="AH36" s="21">
        <v>45618</v>
      </c>
      <c r="AI36" s="23">
        <f>+(AH36-AB36)/30.4</f>
        <v>0</v>
      </c>
      <c r="AJ36" s="23"/>
      <c r="AK36" s="23"/>
      <c r="AL36" s="23"/>
      <c r="AM36" s="23"/>
      <c r="AN36" s="23"/>
      <c r="AO36" s="23"/>
      <c r="AP36" s="22">
        <v>1684</v>
      </c>
      <c r="AQ36" s="22">
        <v>1684</v>
      </c>
      <c r="AR36" s="20">
        <f>+AP36+T36</f>
        <v>47302</v>
      </c>
      <c r="AS36" s="20">
        <f>+AQ36+W36</f>
        <v>47302</v>
      </c>
      <c r="AT36" s="21"/>
      <c r="AU36" s="21"/>
      <c r="AV36" s="21"/>
      <c r="AW36" s="26"/>
      <c r="AX36" s="26"/>
      <c r="AY36" s="26"/>
      <c r="AZ36" s="28"/>
      <c r="BA36" s="43" t="s">
        <v>452</v>
      </c>
      <c r="BB36" s="37">
        <v>45930</v>
      </c>
      <c r="BC36" s="221">
        <v>13106.19</v>
      </c>
      <c r="BD36" s="19">
        <v>42022673.75</v>
      </c>
      <c r="BE36" s="19">
        <v>1662354.43</v>
      </c>
      <c r="BF36" s="53">
        <f>(BB36-AG36)/(AQ36)</f>
        <v>0.18527315914489312</v>
      </c>
      <c r="BG36" s="54">
        <f>BD36/O36</f>
        <v>0.57433858366896617</v>
      </c>
      <c r="BH36" s="54">
        <f>BE36/O36</f>
        <v>2.2719979565365745E-2</v>
      </c>
      <c r="BI36" s="31">
        <f t="shared" si="68"/>
        <v>-0.55161860410360042</v>
      </c>
      <c r="BJ36" s="55"/>
      <c r="BK36" s="55"/>
      <c r="BL36" s="33"/>
      <c r="BM36" s="76"/>
      <c r="BN36" s="75" t="s">
        <v>155</v>
      </c>
      <c r="BO36" s="71"/>
      <c r="BP36" s="71"/>
      <c r="BQ36" s="106" t="s">
        <v>447</v>
      </c>
      <c r="BR36" s="103" t="s">
        <v>453</v>
      </c>
      <c r="BS36" s="103"/>
      <c r="CB36" s="175" t="s">
        <v>409</v>
      </c>
      <c r="CC36" s="175" t="s">
        <v>409</v>
      </c>
      <c r="CD36" s="175" t="s">
        <v>409</v>
      </c>
      <c r="CE36" s="175" t="s">
        <v>412</v>
      </c>
      <c r="CF36" s="175"/>
      <c r="CG36" s="176" t="s">
        <v>442</v>
      </c>
      <c r="CH36" s="177"/>
      <c r="CI36" s="186" t="s">
        <v>1</v>
      </c>
      <c r="CN36" s="175" t="s">
        <v>409</v>
      </c>
      <c r="CO36" s="175" t="s">
        <v>409</v>
      </c>
      <c r="CP36" s="175" t="s">
        <v>409</v>
      </c>
      <c r="CQ36" s="175" t="s">
        <v>412</v>
      </c>
      <c r="CR36" s="175"/>
      <c r="CS36" s="176" t="s">
        <v>442</v>
      </c>
      <c r="CT36" s="177"/>
    </row>
    <row r="37" spans="1:99" ht="72" customHeight="1" x14ac:dyDescent="0.45">
      <c r="A37" s="15" t="s">
        <v>169</v>
      </c>
      <c r="B37" s="66" t="s">
        <v>454</v>
      </c>
      <c r="C37" s="15" t="s">
        <v>455</v>
      </c>
      <c r="D37" s="16" t="s">
        <v>456</v>
      </c>
      <c r="E37" s="67" t="s">
        <v>94</v>
      </c>
      <c r="F37" s="206" t="s">
        <v>457</v>
      </c>
      <c r="G37" s="15" t="s">
        <v>174</v>
      </c>
      <c r="H37" s="130" t="s">
        <v>97</v>
      </c>
      <c r="I37" s="80" t="s">
        <v>175</v>
      </c>
      <c r="J37" s="81" t="s">
        <v>176</v>
      </c>
      <c r="K37" s="18" t="s">
        <v>100</v>
      </c>
      <c r="L37" s="81"/>
      <c r="M37" s="82" t="s">
        <v>177</v>
      </c>
      <c r="N37" s="82"/>
      <c r="O37" s="19">
        <v>260926134.88999999</v>
      </c>
      <c r="P37" s="143"/>
      <c r="Q37" s="82" t="s">
        <v>458</v>
      </c>
      <c r="R37" s="82"/>
      <c r="S37" s="82"/>
      <c r="T37" s="82" t="s">
        <v>459</v>
      </c>
      <c r="U37" s="82"/>
      <c r="V37" s="83"/>
      <c r="W37" s="83">
        <v>45608</v>
      </c>
      <c r="X37" s="83">
        <v>45842</v>
      </c>
      <c r="Y37" s="82" t="s">
        <v>460</v>
      </c>
      <c r="Z37" s="82"/>
      <c r="AA37" s="82" t="s">
        <v>460</v>
      </c>
      <c r="AB37" s="82" t="s">
        <v>460</v>
      </c>
      <c r="AC37" s="82" t="s">
        <v>460</v>
      </c>
      <c r="AD37" s="82"/>
      <c r="AE37" s="82" t="s">
        <v>460</v>
      </c>
      <c r="AF37" s="82"/>
      <c r="AG37" s="82" t="s">
        <v>458</v>
      </c>
      <c r="AH37" s="84" t="s">
        <v>460</v>
      </c>
      <c r="AI37" s="23" t="e">
        <f>+(AH37-AB37)/30.4</f>
        <v>#VALUE!</v>
      </c>
      <c r="AJ37" s="82"/>
      <c r="AK37" s="82"/>
      <c r="AL37" s="82"/>
      <c r="AM37" s="82"/>
      <c r="AN37" s="82"/>
      <c r="AO37" s="82"/>
      <c r="AP37" s="82">
        <v>872</v>
      </c>
      <c r="AQ37" s="243">
        <v>449</v>
      </c>
      <c r="AR37" s="82" t="s">
        <v>460</v>
      </c>
      <c r="AS37" s="82" t="s">
        <v>460</v>
      </c>
      <c r="AT37" s="82" t="s">
        <v>460</v>
      </c>
      <c r="AU37" s="82" t="s">
        <v>460</v>
      </c>
      <c r="AV37" s="84" t="s">
        <v>460</v>
      </c>
      <c r="AW37" s="81" t="s">
        <v>460</v>
      </c>
      <c r="AX37" s="81"/>
      <c r="AY37" s="81"/>
      <c r="AZ37" s="81"/>
      <c r="BA37" s="82" t="s">
        <v>460</v>
      </c>
      <c r="BB37" s="37">
        <v>45930</v>
      </c>
      <c r="BC37" s="228">
        <v>2411000</v>
      </c>
      <c r="BD37" s="228">
        <v>63250000</v>
      </c>
      <c r="BE37" s="228">
        <v>7405000</v>
      </c>
      <c r="BF37" s="240">
        <f>(BB37-X37)/(AQ37)</f>
        <v>0.19599109131403117</v>
      </c>
      <c r="BG37" s="216">
        <f>BD37/O37</f>
        <v>0.24240576754285131</v>
      </c>
      <c r="BH37" s="216">
        <f>BE37/O37</f>
        <v>2.8379679188218401E-2</v>
      </c>
      <c r="BI37" s="216">
        <f>BH37-BG37</f>
        <v>-0.21402608835463291</v>
      </c>
      <c r="BJ37" s="85" t="s">
        <v>460</v>
      </c>
      <c r="BK37" s="87" t="s">
        <v>460</v>
      </c>
      <c r="BL37" s="88" t="s">
        <v>460</v>
      </c>
      <c r="BM37" s="88" t="s">
        <v>460</v>
      </c>
      <c r="BN37" s="88" t="s">
        <v>305</v>
      </c>
      <c r="BO37" s="89">
        <v>46203</v>
      </c>
      <c r="BP37" s="98"/>
      <c r="BQ37" s="91" t="s">
        <v>461</v>
      </c>
      <c r="CB37" s="167">
        <v>29766000</v>
      </c>
      <c r="CC37" s="167">
        <v>4891000</v>
      </c>
      <c r="CD37" s="167">
        <v>411000</v>
      </c>
      <c r="CE37" s="167">
        <v>2662000</v>
      </c>
      <c r="CF37" s="188"/>
      <c r="CG37" s="91" t="s">
        <v>461</v>
      </c>
      <c r="CH37" s="168">
        <v>2.8</v>
      </c>
      <c r="CI37" s="186" t="s">
        <v>430</v>
      </c>
      <c r="CK37" s="153">
        <f t="shared" ref="CK37" si="84">+BB37</f>
        <v>45930</v>
      </c>
      <c r="CL37" s="151">
        <f t="shared" ref="CL37" si="85">+O37</f>
        <v>260926134.88999999</v>
      </c>
      <c r="CN37" s="204">
        <f>+CB37/1000000</f>
        <v>29.765999999999998</v>
      </c>
      <c r="CO37" s="203">
        <f t="shared" ref="CO37" si="86">+CC37/1000000</f>
        <v>4.891</v>
      </c>
      <c r="CP37" s="203">
        <f t="shared" ref="CP37" si="87">+CD37/1000000</f>
        <v>0.41099999999999998</v>
      </c>
      <c r="CQ37" s="203">
        <f t="shared" ref="CQ37" si="88">+CE37/1000000</f>
        <v>2.6619999999999999</v>
      </c>
      <c r="CR37" s="188"/>
      <c r="CS37" s="180"/>
      <c r="CT37" s="168">
        <v>2.8</v>
      </c>
      <c r="CU37" s="186" t="s">
        <v>430</v>
      </c>
    </row>
    <row r="38" spans="1:99" ht="46.15" customHeight="1" x14ac:dyDescent="0.55000000000000004">
      <c r="A38" s="94" t="s">
        <v>90</v>
      </c>
      <c r="B38" s="135" t="s">
        <v>462</v>
      </c>
      <c r="C38" s="135" t="s">
        <v>463</v>
      </c>
      <c r="D38" s="142" t="s">
        <v>464</v>
      </c>
      <c r="E38" s="122" t="s">
        <v>465</v>
      </c>
      <c r="F38" s="122" t="s">
        <v>466</v>
      </c>
      <c r="G38" s="94" t="s">
        <v>291</v>
      </c>
      <c r="H38" s="131" t="s">
        <v>94</v>
      </c>
      <c r="I38" s="80" t="s">
        <v>467</v>
      </c>
      <c r="J38" s="81" t="s">
        <v>468</v>
      </c>
      <c r="K38" s="18" t="s">
        <v>100</v>
      </c>
      <c r="L38" s="81"/>
      <c r="M38" s="18" t="s">
        <v>262</v>
      </c>
      <c r="N38" s="207"/>
      <c r="O38" s="96"/>
      <c r="P38" s="208"/>
      <c r="Q38" s="82" t="s">
        <v>469</v>
      </c>
      <c r="R38" s="82"/>
      <c r="S38" s="82"/>
      <c r="T38" s="82"/>
      <c r="U38" s="82"/>
      <c r="V38" s="83"/>
      <c r="W38" s="83"/>
      <c r="X38" s="82" t="s">
        <v>470</v>
      </c>
      <c r="Y38" s="82"/>
      <c r="Z38" s="82"/>
      <c r="AA38" s="82"/>
      <c r="AB38" s="82" t="s">
        <v>471</v>
      </c>
      <c r="AC38" s="82"/>
      <c r="AD38" s="82"/>
      <c r="AE38" s="82"/>
      <c r="AF38" s="82"/>
      <c r="AG38" s="82" t="s">
        <v>472</v>
      </c>
      <c r="AH38" s="84" t="s">
        <v>472</v>
      </c>
      <c r="AI38" s="23"/>
      <c r="AJ38" s="82"/>
      <c r="AK38" s="82"/>
      <c r="AL38" s="82"/>
      <c r="AM38" s="82"/>
      <c r="AN38" s="82"/>
      <c r="AO38" s="82"/>
      <c r="AP38" s="82"/>
      <c r="AQ38" s="83"/>
      <c r="AR38" s="82"/>
      <c r="AS38" s="82"/>
      <c r="AT38" s="82"/>
      <c r="AU38" s="82"/>
      <c r="AV38" s="84"/>
      <c r="AW38" s="81"/>
      <c r="AX38" s="81"/>
      <c r="AY38" s="81"/>
      <c r="AZ38" s="81" t="s">
        <v>473</v>
      </c>
      <c r="BA38" s="242" t="s">
        <v>473</v>
      </c>
      <c r="BB38" s="37">
        <v>45930</v>
      </c>
      <c r="BC38" s="82"/>
      <c r="BD38" s="82"/>
      <c r="BE38" s="82"/>
      <c r="BF38" s="85"/>
      <c r="BG38" s="85"/>
      <c r="BH38" s="86"/>
      <c r="BI38" s="85"/>
      <c r="BJ38" s="85"/>
      <c r="BK38" s="87"/>
      <c r="BL38" s="242" t="s">
        <v>474</v>
      </c>
      <c r="BM38" s="209"/>
      <c r="BN38" s="210"/>
      <c r="BO38" s="211"/>
      <c r="BP38" s="98"/>
      <c r="BQ38" s="242" t="s">
        <v>473</v>
      </c>
      <c r="CB38" s="167"/>
      <c r="CC38" s="167"/>
      <c r="CD38" s="168"/>
      <c r="CE38" s="167"/>
      <c r="CF38" s="188"/>
      <c r="CG38" s="180" t="s">
        <v>474</v>
      </c>
      <c r="CH38" s="168"/>
      <c r="CI38" s="247" t="s">
        <v>475</v>
      </c>
      <c r="CK38" s="153"/>
      <c r="CL38" s="151"/>
      <c r="CN38" s="204"/>
      <c r="CO38" s="203"/>
      <c r="CP38" s="203"/>
      <c r="CQ38" s="203"/>
      <c r="CR38" s="188"/>
      <c r="CS38" s="180"/>
      <c r="CT38" s="168"/>
      <c r="CU38" s="186" t="s">
        <v>430</v>
      </c>
    </row>
    <row r="39" spans="1:99" ht="69.400000000000006" customHeight="1" x14ac:dyDescent="0.6">
      <c r="A39" s="94" t="s">
        <v>90</v>
      </c>
      <c r="B39" s="135" t="s">
        <v>476</v>
      </c>
      <c r="C39" s="135" t="s">
        <v>477</v>
      </c>
      <c r="D39" s="140" t="s">
        <v>478</v>
      </c>
      <c r="E39" s="139" t="s">
        <v>94</v>
      </c>
      <c r="F39" s="95" t="s">
        <v>479</v>
      </c>
      <c r="G39" s="94" t="s">
        <v>96</v>
      </c>
      <c r="H39" s="131"/>
      <c r="I39" s="18" t="s">
        <v>480</v>
      </c>
      <c r="J39" s="18" t="s">
        <v>481</v>
      </c>
      <c r="K39" s="18" t="s">
        <v>100</v>
      </c>
      <c r="L39" s="18"/>
      <c r="M39" s="18" t="s">
        <v>284</v>
      </c>
      <c r="N39" s="132"/>
      <c r="O39" s="96"/>
      <c r="P39" s="96"/>
      <c r="Q39" s="20">
        <v>45454</v>
      </c>
      <c r="R39" s="20"/>
      <c r="S39" s="20"/>
      <c r="T39" s="21"/>
      <c r="U39" s="21"/>
      <c r="V39" s="21"/>
      <c r="W39" s="21"/>
      <c r="X39" s="21">
        <v>45623</v>
      </c>
      <c r="Y39" s="22"/>
      <c r="Z39" s="22"/>
      <c r="AA39" s="22"/>
      <c r="AB39" s="21">
        <v>45765</v>
      </c>
      <c r="AC39" s="22"/>
      <c r="AD39" s="22"/>
      <c r="AE39" s="22"/>
      <c r="AF39" s="22"/>
      <c r="AG39" s="21">
        <v>45623</v>
      </c>
      <c r="AH39" s="56">
        <v>45400</v>
      </c>
      <c r="AI39" s="23">
        <f>+(AH39-AB39)/30.4</f>
        <v>-12.006578947368421</v>
      </c>
      <c r="AJ39" s="23"/>
      <c r="AK39" s="23"/>
      <c r="AL39" s="23"/>
      <c r="AM39" s="23"/>
      <c r="AN39" s="23"/>
      <c r="AO39" s="23"/>
      <c r="AP39" s="22">
        <v>365</v>
      </c>
      <c r="AQ39" s="22">
        <v>365</v>
      </c>
      <c r="AR39" s="21">
        <v>46203</v>
      </c>
      <c r="AS39" s="21">
        <v>46203</v>
      </c>
      <c r="AT39" s="21"/>
      <c r="AU39" s="21"/>
      <c r="AV39" s="21">
        <v>46203</v>
      </c>
      <c r="AW39" s="26"/>
      <c r="AX39" s="23">
        <v>0</v>
      </c>
      <c r="AY39" s="26"/>
      <c r="AZ39" s="28"/>
      <c r="BA39" s="43"/>
      <c r="BB39" s="37">
        <v>45930</v>
      </c>
      <c r="BC39" s="19"/>
      <c r="BD39" s="19"/>
      <c r="BE39" s="19"/>
      <c r="BF39" s="54"/>
      <c r="BG39" s="54"/>
      <c r="BH39" s="54"/>
      <c r="BI39" s="54"/>
      <c r="BJ39" s="55"/>
      <c r="BK39" s="55"/>
      <c r="BL39" s="43"/>
      <c r="BM39" s="76"/>
      <c r="BN39" s="75"/>
      <c r="BO39" s="97">
        <v>46203</v>
      </c>
      <c r="BP39" s="98"/>
      <c r="BQ39" s="99"/>
      <c r="BR39" s="107"/>
      <c r="BS39" s="107"/>
      <c r="BU39" s="119"/>
      <c r="BV39" s="137"/>
      <c r="BX39" s="104"/>
      <c r="BY39" s="104"/>
      <c r="BZ39" s="104"/>
      <c r="CB39" s="164"/>
      <c r="CC39" s="164"/>
      <c r="CD39" s="164"/>
      <c r="CE39" s="164"/>
      <c r="CF39" s="164"/>
      <c r="CG39" s="160" t="s">
        <v>128</v>
      </c>
      <c r="CH39" s="177"/>
      <c r="CI39" s="156" t="s">
        <v>1</v>
      </c>
      <c r="CN39" s="164"/>
      <c r="CO39" s="164"/>
      <c r="CP39" s="164"/>
      <c r="CQ39" s="164"/>
      <c r="CR39" s="164"/>
      <c r="CS39" s="160" t="s">
        <v>128</v>
      </c>
      <c r="CT39" s="177"/>
    </row>
    <row r="40" spans="1:99" ht="91.2" x14ac:dyDescent="0.45">
      <c r="A40" s="15" t="s">
        <v>332</v>
      </c>
      <c r="B40" s="66" t="s">
        <v>482</v>
      </c>
      <c r="C40" s="66" t="s">
        <v>483</v>
      </c>
      <c r="D40" s="16" t="s">
        <v>484</v>
      </c>
      <c r="E40" s="16" t="s">
        <v>94</v>
      </c>
      <c r="F40" s="17" t="s">
        <v>485</v>
      </c>
      <c r="G40" s="15" t="s">
        <v>432</v>
      </c>
      <c r="H40" s="18" t="s">
        <v>97</v>
      </c>
      <c r="I40" s="18" t="s">
        <v>433</v>
      </c>
      <c r="J40" s="18" t="s">
        <v>486</v>
      </c>
      <c r="K40" s="18" t="s">
        <v>100</v>
      </c>
      <c r="L40" s="18" t="s">
        <v>487</v>
      </c>
      <c r="M40" s="17" t="s">
        <v>488</v>
      </c>
      <c r="N40" s="17" t="s">
        <v>460</v>
      </c>
      <c r="O40" s="19" t="s">
        <v>489</v>
      </c>
      <c r="P40" s="19" t="s">
        <v>460</v>
      </c>
      <c r="Q40" s="20" t="s">
        <v>490</v>
      </c>
      <c r="R40" s="20" t="s">
        <v>460</v>
      </c>
      <c r="S40" s="20" t="s">
        <v>460</v>
      </c>
      <c r="T40" s="21" t="s">
        <v>460</v>
      </c>
      <c r="U40" s="36" t="s">
        <v>460</v>
      </c>
      <c r="V40" s="21" t="s">
        <v>460</v>
      </c>
      <c r="W40" s="21" t="s">
        <v>460</v>
      </c>
      <c r="X40" s="21" t="s">
        <v>491</v>
      </c>
      <c r="Y40" s="22" t="s">
        <v>460</v>
      </c>
      <c r="Z40" s="22" t="s">
        <v>460</v>
      </c>
      <c r="AA40" s="22" t="s">
        <v>460</v>
      </c>
      <c r="AB40" s="21" t="s">
        <v>491</v>
      </c>
      <c r="AC40" s="22" t="s">
        <v>460</v>
      </c>
      <c r="AD40" s="22" t="s">
        <v>460</v>
      </c>
      <c r="AE40" s="22" t="s">
        <v>460</v>
      </c>
      <c r="AF40" s="22" t="s">
        <v>460</v>
      </c>
      <c r="AG40" s="21" t="str">
        <f>AB40</f>
        <v>19/08/2024</v>
      </c>
      <c r="AH40" s="21" t="str">
        <f>AB40</f>
        <v>19/08/2024</v>
      </c>
      <c r="AI40" s="23" t="s">
        <v>460</v>
      </c>
      <c r="AJ40" s="23" t="s">
        <v>460</v>
      </c>
      <c r="AK40" s="23" t="s">
        <v>460</v>
      </c>
      <c r="AL40" s="23" t="s">
        <v>460</v>
      </c>
      <c r="AM40" s="23" t="s">
        <v>460</v>
      </c>
      <c r="AN40" s="23" t="s">
        <v>460</v>
      </c>
      <c r="AO40" s="23" t="s">
        <v>460</v>
      </c>
      <c r="AP40" s="22"/>
      <c r="AQ40" s="22">
        <v>1435</v>
      </c>
      <c r="AR40" s="20">
        <v>46957</v>
      </c>
      <c r="AS40" s="20" t="s">
        <v>492</v>
      </c>
      <c r="AT40" s="21">
        <f>+AR40+180+60</f>
        <v>47197</v>
      </c>
      <c r="AU40" s="21" t="s">
        <v>460</v>
      </c>
      <c r="AV40" s="21" t="s">
        <v>460</v>
      </c>
      <c r="AW40" s="26" t="s">
        <v>460</v>
      </c>
      <c r="AX40" s="26" t="s">
        <v>460</v>
      </c>
      <c r="AY40" s="26" t="s">
        <v>460</v>
      </c>
      <c r="AZ40" s="28" t="s">
        <v>493</v>
      </c>
      <c r="BA40" s="43" t="s">
        <v>494</v>
      </c>
      <c r="BB40" s="37">
        <v>45901</v>
      </c>
      <c r="BC40" s="19" t="s">
        <v>460</v>
      </c>
      <c r="BD40" s="19">
        <v>0</v>
      </c>
      <c r="BE40" s="19">
        <v>0</v>
      </c>
      <c r="BF40" s="53" t="s">
        <v>460</v>
      </c>
      <c r="BG40" s="54" t="s">
        <v>460</v>
      </c>
      <c r="BH40" s="54" t="s">
        <v>460</v>
      </c>
      <c r="BI40" s="54" t="s">
        <v>460</v>
      </c>
      <c r="BJ40" s="55" t="s">
        <v>460</v>
      </c>
      <c r="BK40" s="55" t="s">
        <v>460</v>
      </c>
      <c r="BL40" s="33" t="s">
        <v>460</v>
      </c>
      <c r="BM40" s="76" t="s">
        <v>460</v>
      </c>
      <c r="BN40" s="75" t="s">
        <v>155</v>
      </c>
      <c r="BO40" s="71">
        <v>46203</v>
      </c>
      <c r="BP40" s="93" t="s">
        <v>495</v>
      </c>
      <c r="BQ40" s="222" t="s">
        <v>493</v>
      </c>
      <c r="BR40" s="107"/>
      <c r="BS40" s="107"/>
      <c r="CB40" s="205">
        <v>9148102.5800000001</v>
      </c>
      <c r="CC40" s="205">
        <v>442400</v>
      </c>
      <c r="CD40" s="205">
        <v>208371.65</v>
      </c>
      <c r="CE40" s="205">
        <v>499271.86</v>
      </c>
      <c r="CF40" s="187"/>
      <c r="CG40" s="160" t="s">
        <v>496</v>
      </c>
      <c r="CH40" s="185">
        <v>4</v>
      </c>
      <c r="CI40" s="186" t="s">
        <v>145</v>
      </c>
      <c r="CK40" s="153">
        <f t="shared" ref="CK40" si="89">+BB40</f>
        <v>45901</v>
      </c>
      <c r="CL40" s="151" t="str">
        <f>+O40</f>
        <v>247.276.594 €</v>
      </c>
      <c r="CN40" s="204">
        <f>+CB40/1000000</f>
        <v>9.1481025799999998</v>
      </c>
      <c r="CO40" s="202">
        <v>0.23</v>
      </c>
      <c r="CP40" s="203">
        <f t="shared" ref="CP40:CP41" si="90">+CD40/1000000</f>
        <v>0.20837164999999999</v>
      </c>
      <c r="CQ40" s="203">
        <f t="shared" ref="CQ40:CQ41" si="91">+CE40/1000000</f>
        <v>0.49927186000000001</v>
      </c>
      <c r="CR40" s="187"/>
      <c r="CS40" s="160" t="s">
        <v>497</v>
      </c>
      <c r="CT40" s="185">
        <v>4</v>
      </c>
      <c r="CU40" s="186" t="s">
        <v>145</v>
      </c>
    </row>
    <row r="41" spans="1:99" ht="34.200000000000003" x14ac:dyDescent="0.45">
      <c r="A41" s="15" t="s">
        <v>90</v>
      </c>
      <c r="B41" s="66" t="s">
        <v>498</v>
      </c>
      <c r="C41" s="15" t="s">
        <v>499</v>
      </c>
      <c r="D41" s="16" t="s">
        <v>500</v>
      </c>
      <c r="E41" s="138" t="s">
        <v>94</v>
      </c>
      <c r="F41" s="59" t="s">
        <v>501</v>
      </c>
      <c r="G41" s="15" t="s">
        <v>143</v>
      </c>
      <c r="H41" s="16" t="s">
        <v>97</v>
      </c>
      <c r="I41" s="18" t="s">
        <v>321</v>
      </c>
      <c r="J41" s="18" t="s">
        <v>502</v>
      </c>
      <c r="K41" s="18" t="s">
        <v>100</v>
      </c>
      <c r="L41" s="18" t="s">
        <v>503</v>
      </c>
      <c r="M41" s="17" t="s">
        <v>504</v>
      </c>
      <c r="N41" s="17"/>
      <c r="O41" s="19">
        <v>20420724.920000002</v>
      </c>
      <c r="P41" s="19"/>
      <c r="Q41" s="20">
        <v>44330</v>
      </c>
      <c r="R41" s="19"/>
      <c r="S41" s="19"/>
      <c r="T41" s="212"/>
      <c r="U41" s="21"/>
      <c r="V41" s="21"/>
      <c r="W41" s="21"/>
      <c r="X41" s="21"/>
      <c r="Y41" s="22">
        <f t="shared" ref="Y41" si="92">+(X41-Q41)/30.4</f>
        <v>-1458.2236842105265</v>
      </c>
      <c r="Z41" s="22"/>
      <c r="AA41" s="22">
        <f>+(X41-R41)/30.4</f>
        <v>0</v>
      </c>
      <c r="AB41" s="21">
        <v>45198</v>
      </c>
      <c r="AC41" s="213"/>
      <c r="AD41" s="213"/>
      <c r="AE41" s="213"/>
      <c r="AF41" s="22"/>
      <c r="AG41" s="22"/>
      <c r="AH41" s="21">
        <v>45198</v>
      </c>
      <c r="AI41" s="23">
        <f t="shared" ref="AI41" si="93">+(AH41-AB41)/30.4</f>
        <v>0</v>
      </c>
      <c r="AJ41" s="23">
        <f t="shared" ref="AJ41" si="94">+AI41+AE41</f>
        <v>0</v>
      </c>
      <c r="AK41" s="23"/>
      <c r="AL41" s="23"/>
      <c r="AM41" s="23"/>
      <c r="AN41" s="23"/>
      <c r="AO41" s="23"/>
      <c r="AP41" s="23">
        <v>430</v>
      </c>
      <c r="AQ41" s="36"/>
      <c r="AR41" s="21">
        <v>45628</v>
      </c>
      <c r="AS41" s="21">
        <v>46168</v>
      </c>
      <c r="AT41" s="24"/>
      <c r="AU41" s="24"/>
      <c r="AV41" s="21"/>
      <c r="AW41" s="26"/>
      <c r="AX41" s="124">
        <v>2</v>
      </c>
      <c r="AY41" s="124">
        <v>541</v>
      </c>
      <c r="AZ41" s="28" t="s">
        <v>505</v>
      </c>
      <c r="BA41" s="28" t="s">
        <v>506</v>
      </c>
      <c r="BB41" s="37">
        <v>45930</v>
      </c>
      <c r="BC41" s="19">
        <v>52753.8</v>
      </c>
      <c r="BD41" s="19"/>
      <c r="BE41" s="19">
        <v>4676137.08</v>
      </c>
      <c r="BF41" s="30" t="e">
        <f t="shared" ref="BF41" si="95">(BB41-AH41)/(AQ41)</f>
        <v>#DIV/0!</v>
      </c>
      <c r="BG41" s="31">
        <f t="shared" ref="BG41" si="96">BD41/O41</f>
        <v>0</v>
      </c>
      <c r="BH41" s="31">
        <f>BE41/O41</f>
        <v>0.22898976889014377</v>
      </c>
      <c r="BI41" s="31">
        <f t="shared" ref="BI41" si="97">BH41-BG41</f>
        <v>0.22898976889014377</v>
      </c>
      <c r="BJ41" s="32">
        <f t="shared" ref="BJ41" si="98">IF(AV41="",0,(AV41-AS41)/30.4)</f>
        <v>0</v>
      </c>
      <c r="BK41" s="32">
        <f>IF(AW41="",0,(AW41-AT41)/30.4)</f>
        <v>0</v>
      </c>
      <c r="BL41" s="33" t="s">
        <v>215</v>
      </c>
      <c r="BM41" s="76">
        <f>+(IF(AW41="",AT41-$K$1,AW41-$K$1))/30.4</f>
        <v>-1525.3618421052631</v>
      </c>
      <c r="BN41" s="75" t="str">
        <f t="shared" ref="BN41" si="99">+IF(AW41="",IF(AU41&lt;=BO41,"SI","FUORI"),IF(AW41&lt;=BO41,"SI","FUORI"))</f>
        <v>SI</v>
      </c>
      <c r="BO41" s="71"/>
      <c r="BP41" s="93"/>
      <c r="BQ41" s="72" t="s">
        <v>507</v>
      </c>
      <c r="BR41" s="103"/>
      <c r="BS41" s="103"/>
      <c r="BT41" s="107"/>
      <c r="BU41" s="103"/>
      <c r="BV41" s="103"/>
      <c r="CB41" s="159"/>
      <c r="CC41" s="159"/>
      <c r="CD41" s="159"/>
      <c r="CE41" s="159"/>
      <c r="CF41" s="182"/>
      <c r="CG41" s="165"/>
      <c r="CH41" s="166"/>
      <c r="CI41" s="161"/>
      <c r="CK41" s="153"/>
      <c r="CL41" s="151">
        <f t="shared" ref="CL41" si="100">+O41</f>
        <v>20420724.920000002</v>
      </c>
      <c r="CN41" s="204">
        <f>+CB41/1000000</f>
        <v>0</v>
      </c>
      <c r="CO41" s="204">
        <f t="shared" ref="CO41" si="101">+CC41/1000000</f>
        <v>0</v>
      </c>
      <c r="CP41" s="204">
        <f t="shared" si="90"/>
        <v>0</v>
      </c>
      <c r="CQ41" s="204">
        <f t="shared" si="91"/>
        <v>0</v>
      </c>
      <c r="CR41" s="182"/>
      <c r="CS41" s="165"/>
      <c r="CT41" s="166"/>
      <c r="CU41" s="161"/>
    </row>
    <row r="42" spans="1:99" ht="16" customHeight="1" x14ac:dyDescent="0.45">
      <c r="A42" s="15" t="s">
        <v>90</v>
      </c>
      <c r="B42" s="66" t="s">
        <v>508</v>
      </c>
      <c r="C42" s="15" t="s">
        <v>509</v>
      </c>
      <c r="D42" s="223" t="s">
        <v>510</v>
      </c>
      <c r="E42" s="224" t="s">
        <v>94</v>
      </c>
      <c r="F42" s="225" t="s">
        <v>511</v>
      </c>
      <c r="G42" s="15" t="s">
        <v>512</v>
      </c>
      <c r="H42" s="223" t="s">
        <v>97</v>
      </c>
      <c r="I42" s="226" t="s">
        <v>467</v>
      </c>
      <c r="J42" s="226" t="s">
        <v>513</v>
      </c>
      <c r="K42" s="226" t="s">
        <v>100</v>
      </c>
      <c r="L42" s="226" t="s">
        <v>262</v>
      </c>
      <c r="M42" s="227" t="s">
        <v>514</v>
      </c>
      <c r="N42" s="227"/>
      <c r="O42" s="228">
        <v>123456319.06999999</v>
      </c>
      <c r="P42" s="228"/>
      <c r="Q42" s="229"/>
      <c r="R42" s="228"/>
      <c r="S42" s="228"/>
      <c r="T42" s="230"/>
      <c r="U42" s="231"/>
      <c r="V42" s="231"/>
      <c r="W42" s="231"/>
      <c r="X42" s="231">
        <v>45734</v>
      </c>
      <c r="Y42" s="232"/>
      <c r="Z42" s="232"/>
      <c r="AA42" s="232"/>
      <c r="AB42" s="231">
        <v>45874</v>
      </c>
      <c r="AC42" s="233"/>
      <c r="AD42" s="233"/>
      <c r="AE42" s="233"/>
      <c r="AF42" s="232"/>
      <c r="AG42" s="232"/>
      <c r="AH42" s="231" t="s">
        <v>515</v>
      </c>
      <c r="AI42" s="234" t="s">
        <v>516</v>
      </c>
      <c r="AJ42" s="234"/>
      <c r="AK42" s="234"/>
      <c r="AL42" s="234"/>
      <c r="AM42" s="234"/>
      <c r="AN42" s="234"/>
      <c r="AO42" s="234"/>
      <c r="AP42" s="234">
        <v>783</v>
      </c>
      <c r="AQ42" s="235">
        <v>783</v>
      </c>
      <c r="AR42" s="231"/>
      <c r="AS42" s="231">
        <v>46516</v>
      </c>
      <c r="AT42" s="236"/>
      <c r="AU42" s="236"/>
      <c r="AV42" s="231"/>
      <c r="AW42" s="237"/>
      <c r="AX42" s="238"/>
      <c r="AY42" s="238"/>
      <c r="AZ42" s="222"/>
      <c r="BA42" s="222"/>
      <c r="BB42" s="239">
        <v>45930</v>
      </c>
      <c r="BC42" s="228">
        <v>302626.13</v>
      </c>
      <c r="BD42" s="228">
        <v>5526885.8099999996</v>
      </c>
      <c r="BE42" s="228">
        <v>2292932.0099999998</v>
      </c>
      <c r="BF42" s="240">
        <f>(BB42-AH42)/(AQ42)</f>
        <v>0.25031928480204341</v>
      </c>
      <c r="BG42" s="216">
        <f>BD42/O42</f>
        <v>4.4767945874574826E-2</v>
      </c>
      <c r="BH42" s="216">
        <f>BE42/O42</f>
        <v>1.8572820146208171E-2</v>
      </c>
      <c r="BI42" s="216">
        <f>BH42-BG42</f>
        <v>-2.6195125728366655E-2</v>
      </c>
      <c r="BJ42" s="241">
        <f>IF(AV42="",0,(AV42-AS42)/30.4)</f>
        <v>0</v>
      </c>
      <c r="BK42" s="241">
        <f>IF(AW42="",0,(AW42-AT42)/30.4)</f>
        <v>0</v>
      </c>
      <c r="BL42" s="33" t="s">
        <v>517</v>
      </c>
      <c r="BM42" s="76">
        <f>+(IF(AW42="",AT42-$K$1,AW42-$K$1))/30.4</f>
        <v>-1525.3618421052631</v>
      </c>
      <c r="BN42" s="75" t="str">
        <f>+IF(AW42="",IF(AU42&lt;=BO42,"SI","FUORI"),IF(AW42&lt;=BO42,"SI","FUORI"))</f>
        <v>SI</v>
      </c>
      <c r="BO42" s="71"/>
      <c r="BP42" s="71"/>
      <c r="BQ42" s="33" t="s">
        <v>518</v>
      </c>
      <c r="BR42" s="107"/>
      <c r="BS42" s="107"/>
      <c r="BT42" s="107"/>
      <c r="BU42" s="107"/>
      <c r="BV42" s="107"/>
      <c r="CB42" s="159"/>
      <c r="CC42" s="159"/>
      <c r="CD42" s="159"/>
      <c r="CE42" s="159"/>
      <c r="CF42" s="182"/>
      <c r="CG42" s="33"/>
      <c r="CH42" s="166"/>
      <c r="CI42" s="161"/>
      <c r="CK42" s="153"/>
      <c r="CL42" s="151">
        <f>+O42</f>
        <v>123456319.06999999</v>
      </c>
      <c r="CN42" s="204">
        <f>+CB42/1000000</f>
        <v>0</v>
      </c>
      <c r="CO42" s="204">
        <f>+CC42/1000000</f>
        <v>0</v>
      </c>
      <c r="CP42" s="204">
        <f>+CD42/1000000</f>
        <v>0</v>
      </c>
      <c r="CQ42" s="204">
        <f>+CE42/1000000</f>
        <v>0</v>
      </c>
      <c r="CR42" s="182"/>
      <c r="CS42" s="165"/>
      <c r="CT42" s="166"/>
      <c r="CU42" s="161"/>
    </row>
    <row r="43" spans="1:99" ht="23.4" x14ac:dyDescent="0.6">
      <c r="A43" s="15" t="s">
        <v>90</v>
      </c>
      <c r="B43" s="66" t="s">
        <v>508</v>
      </c>
      <c r="C43" s="15" t="s">
        <v>509</v>
      </c>
      <c r="D43" s="223" t="s">
        <v>519</v>
      </c>
      <c r="E43" s="224" t="s">
        <v>94</v>
      </c>
      <c r="F43" s="225" t="s">
        <v>520</v>
      </c>
      <c r="G43" s="15" t="s">
        <v>512</v>
      </c>
      <c r="H43" s="223" t="s">
        <v>97</v>
      </c>
      <c r="I43" s="226" t="s">
        <v>467</v>
      </c>
      <c r="J43" s="226" t="s">
        <v>513</v>
      </c>
      <c r="K43" s="226" t="s">
        <v>100</v>
      </c>
      <c r="L43" s="226" t="s">
        <v>262</v>
      </c>
      <c r="M43" s="227" t="s">
        <v>514</v>
      </c>
      <c r="N43" s="228"/>
      <c r="O43" s="228">
        <v>309033128.00999999</v>
      </c>
      <c r="P43" s="229"/>
      <c r="Q43" s="228"/>
      <c r="R43" s="228"/>
      <c r="S43" s="230"/>
      <c r="T43" s="231"/>
      <c r="U43" s="231"/>
      <c r="V43" s="231"/>
      <c r="W43" s="231"/>
      <c r="X43" s="231">
        <v>45736</v>
      </c>
      <c r="Y43" s="232"/>
      <c r="Z43" s="232"/>
      <c r="AA43" s="232"/>
      <c r="AB43" s="228" t="s">
        <v>521</v>
      </c>
      <c r="AC43" s="233"/>
      <c r="AD43" s="233"/>
      <c r="AE43" s="232"/>
      <c r="AF43" s="232"/>
      <c r="AG43" s="231"/>
      <c r="AH43" s="231">
        <v>45736</v>
      </c>
      <c r="AI43" s="234"/>
      <c r="AJ43" s="234"/>
      <c r="AK43" s="234"/>
      <c r="AL43" s="234"/>
      <c r="AM43" s="234"/>
      <c r="AN43" s="234"/>
      <c r="AO43" s="234"/>
      <c r="AP43" s="235">
        <v>783</v>
      </c>
      <c r="AQ43" s="235">
        <v>783</v>
      </c>
      <c r="AR43" s="231"/>
      <c r="AS43" s="231">
        <v>46516</v>
      </c>
      <c r="AT43" s="236"/>
      <c r="AU43" s="231"/>
      <c r="AV43" s="237"/>
      <c r="AW43" s="238"/>
      <c r="AX43" s="238"/>
      <c r="AY43" s="222"/>
      <c r="AZ43" s="222"/>
      <c r="BA43" s="239"/>
      <c r="BB43" s="239">
        <v>45930</v>
      </c>
      <c r="BC43" s="246">
        <v>355100.07</v>
      </c>
      <c r="BD43" s="228">
        <v>11894560.93</v>
      </c>
      <c r="BE43" s="228">
        <v>2581973.37</v>
      </c>
      <c r="BF43" s="240">
        <f>(BB43-AH43)/(AQ43)</f>
        <v>0.24776500638569604</v>
      </c>
      <c r="BG43" s="216">
        <f>BD43/O43</f>
        <v>3.8489598207785358E-2</v>
      </c>
      <c r="BH43" s="216">
        <f>BE43/O43</f>
        <v>8.3550051304417117E-3</v>
      </c>
      <c r="BI43" s="216">
        <f>BH43-BG43</f>
        <v>-3.0134593077343647E-2</v>
      </c>
      <c r="BJ43" s="241"/>
      <c r="BK43" s="241"/>
      <c r="BL43" s="33" t="s">
        <v>517</v>
      </c>
      <c r="BM43" s="76"/>
      <c r="BN43" s="75"/>
      <c r="BO43" s="71"/>
      <c r="BP43" s="71"/>
      <c r="BQ43" s="33" t="s">
        <v>518</v>
      </c>
      <c r="BR43" s="107"/>
      <c r="BS43" s="107"/>
      <c r="BT43" s="107"/>
      <c r="BU43" s="107"/>
      <c r="CA43" s="159"/>
      <c r="CB43" s="159"/>
      <c r="CC43" s="159"/>
      <c r="CD43" s="159"/>
      <c r="CE43" s="182"/>
      <c r="CF43" s="165"/>
      <c r="CG43" s="33"/>
      <c r="CH43" s="161"/>
      <c r="CI43" s="7"/>
      <c r="CJ43" s="153"/>
      <c r="CK43" s="151">
        <f>+N43</f>
        <v>0</v>
      </c>
      <c r="CM43" s="204">
        <f>+CA43/1000000</f>
        <v>0</v>
      </c>
      <c r="CN43" s="204">
        <f>+CB43/1000000</f>
        <v>0</v>
      </c>
      <c r="CO43" s="204">
        <f>+CC43/1000000</f>
        <v>0</v>
      </c>
      <c r="CP43" s="204">
        <f>+CD43/1000000</f>
        <v>0</v>
      </c>
      <c r="CQ43" s="182"/>
      <c r="CR43" s="165"/>
      <c r="CS43" s="166"/>
      <c r="CT43" s="161"/>
    </row>
    <row r="44" spans="1:99" x14ac:dyDescent="0.6">
      <c r="AT44" s="6"/>
    </row>
    <row r="45" spans="1:99" x14ac:dyDescent="0.6">
      <c r="AT45" s="6"/>
    </row>
    <row r="46" spans="1:99" x14ac:dyDescent="0.6">
      <c r="AT46" s="6"/>
    </row>
    <row r="47" spans="1:99" x14ac:dyDescent="0.6">
      <c r="O47" s="5"/>
      <c r="P47" s="5"/>
      <c r="Q47" s="5"/>
      <c r="R47" s="5"/>
      <c r="S47" s="5"/>
      <c r="AT47" s="6"/>
    </row>
    <row r="48" spans="1:99" x14ac:dyDescent="0.6">
      <c r="AT48" s="6"/>
    </row>
    <row r="49" spans="15:96" x14ac:dyDescent="0.6">
      <c r="O49" s="5"/>
      <c r="P49" s="5"/>
      <c r="Q49" s="5"/>
      <c r="R49" s="5"/>
      <c r="S49" s="5"/>
      <c r="AH49" s="5"/>
      <c r="AT49" s="6"/>
    </row>
    <row r="50" spans="15:96" x14ac:dyDescent="0.6">
      <c r="AT50" s="60"/>
    </row>
    <row r="52" spans="15:96" x14ac:dyDescent="0.6">
      <c r="CF52" s="150">
        <f>83+518.5+640+5.2+74+90+928+21+170+30+26+19+210+245+210+273</f>
        <v>3542.7</v>
      </c>
      <c r="CR52" s="150">
        <f>83+518.5+640+5.2+74+90+928+21+170+30+26+19+210+245+210+273</f>
        <v>3542.7</v>
      </c>
    </row>
  </sheetData>
  <autoFilter ref="A4:CU43" xr:uid="{3D32DF54-1711-491D-8AF0-50D3F57C6483}"/>
  <customSheetViews>
    <customSheetView guid="{50B7E110-FD42-446B-AC41-384806E05BBF}" scale="90" showPageBreaks="1" fitToPage="1" printArea="1" showAutoFilter="1" hiddenColumns="1" view="pageBreakPreview">
      <pane xSplit="4" ySplit="3" topLeftCell="E4" activePane="bottomRight" state="frozen"/>
      <selection pane="bottomRight" activeCell="AQ1" activeCellId="5" sqref="F1:H1048576 J1:AC1048576 AE1:AE1048576 AG1:AH1048576 AJ1:AJ1048576 AQ1:AQ1048576"/>
      <pageMargins left="0" right="0" top="0" bottom="0" header="0" footer="0"/>
      <pageSetup paperSize="9" scale="45" fitToHeight="3" orientation="landscape" r:id="rId1"/>
      <autoFilter ref="A3:AT39" xr:uid="{97D2AC86-6944-4DFC-857A-B6B036AA8804}"/>
    </customSheetView>
    <customSheetView guid="{836A67C5-D467-43F8-B234-294133BA48E9}" scale="90" showPageBreaks="1" fitToPage="1" printArea="1" filter="1" showAutoFilter="1" hiddenColumns="1" view="pageBreakPreview">
      <pane xSplit="4" ySplit="3" topLeftCell="E4" activePane="bottomRight" state="frozen"/>
      <selection pane="bottomRight" activeCell="AQ1" sqref="AQ1:AQ1048576 J1:AC1048576 AE1:AE1048576 AG1:AH1048576 AJ1:AJ1048576 AQ1:AQ1048576"/>
      <pageMargins left="0" right="0" top="0" bottom="0" header="0" footer="0"/>
      <pageSetup paperSize="9" scale="43" fitToHeight="3" orientation="landscape" r:id="rId2"/>
      <autoFilter ref="A3:AT39" xr:uid="{DDA0867B-1BB2-419D-9464-15525859B548}">
        <filterColumn colId="0">
          <filters>
            <filter val="NORD"/>
          </filters>
        </filterColumn>
      </autoFilter>
    </customSheetView>
  </customSheetViews>
  <phoneticPr fontId="2" type="noConversion"/>
  <conditionalFormatting sqref="BI25 BI41:BI1048576 BI39 BF39 BI19:BI20 BI12:BI14 BI5:BI10">
    <cfRule type="cellIs" dxfId="54" priority="152" operator="between">
      <formula>0</formula>
      <formula>-0.1</formula>
    </cfRule>
    <cfRule type="cellIs" dxfId="53" priority="153" operator="greaterThan">
      <formula>0</formula>
    </cfRule>
    <cfRule type="cellIs" dxfId="52" priority="154" operator="lessThan">
      <formula>-0.1</formula>
    </cfRule>
  </conditionalFormatting>
  <conditionalFormatting sqref="Y1:AA2 Y44:AA1048576">
    <cfRule type="cellIs" dxfId="51" priority="151" operator="greaterThan">
      <formula>3.1</formula>
    </cfRule>
  </conditionalFormatting>
  <conditionalFormatting sqref="BI24">
    <cfRule type="cellIs" dxfId="50" priority="144" operator="between">
      <formula>0</formula>
      <formula>-0.1</formula>
    </cfRule>
    <cfRule type="cellIs" dxfId="49" priority="145" operator="greaterThan">
      <formula>0</formula>
    </cfRule>
    <cfRule type="cellIs" dxfId="48" priority="146" operator="lessThan">
      <formula>-0.1</formula>
    </cfRule>
  </conditionalFormatting>
  <conditionalFormatting sqref="BI22">
    <cfRule type="cellIs" dxfId="47" priority="125" operator="between">
      <formula>0</formula>
      <formula>-0.1</formula>
    </cfRule>
    <cfRule type="cellIs" dxfId="46" priority="126" operator="greaterThan">
      <formula>0</formula>
    </cfRule>
    <cfRule type="cellIs" dxfId="45" priority="127" operator="lessThan">
      <formula>-0.1</formula>
    </cfRule>
  </conditionalFormatting>
  <conditionalFormatting sqref="BF23">
    <cfRule type="cellIs" dxfId="44" priority="117" operator="between">
      <formula>0</formula>
      <formula>-0.1</formula>
    </cfRule>
    <cfRule type="cellIs" dxfId="43" priority="118" operator="greaterThan">
      <formula>0</formula>
    </cfRule>
    <cfRule type="cellIs" dxfId="42" priority="119" operator="lessThan">
      <formula>-0.1</formula>
    </cfRule>
  </conditionalFormatting>
  <conditionalFormatting sqref="BF26 BF28">
    <cfRule type="cellIs" dxfId="41" priority="113" operator="between">
      <formula>0</formula>
      <formula>-0.1</formula>
    </cfRule>
    <cfRule type="cellIs" dxfId="40" priority="114" operator="greaterThan">
      <formula>0</formula>
    </cfRule>
    <cfRule type="cellIs" dxfId="39" priority="115" operator="lessThan">
      <formula>-0.1</formula>
    </cfRule>
  </conditionalFormatting>
  <conditionalFormatting sqref="BI26:BI30">
    <cfRule type="cellIs" dxfId="38" priority="85" operator="between">
      <formula>0</formula>
      <formula>-0.1</formula>
    </cfRule>
    <cfRule type="cellIs" dxfId="37" priority="86" operator="greaterThan">
      <formula>0</formula>
    </cfRule>
    <cfRule type="cellIs" dxfId="36" priority="87" operator="lessThan">
      <formula>-0.1</formula>
    </cfRule>
  </conditionalFormatting>
  <conditionalFormatting sqref="BI15:BI18">
    <cfRule type="cellIs" dxfId="35" priority="76" operator="between">
      <formula>0</formula>
      <formula>-0.1</formula>
    </cfRule>
    <cfRule type="cellIs" dxfId="34" priority="77" operator="greaterThan">
      <formula>0</formula>
    </cfRule>
    <cfRule type="cellIs" dxfId="33" priority="78" operator="lessThan">
      <formula>-0.1</formula>
    </cfRule>
  </conditionalFormatting>
  <conditionalFormatting sqref="BI31">
    <cfRule type="cellIs" dxfId="32" priority="55" operator="between">
      <formula>0</formula>
      <formula>-0.1</formula>
    </cfRule>
    <cfRule type="cellIs" dxfId="31" priority="56" operator="greaterThan">
      <formula>0</formula>
    </cfRule>
    <cfRule type="cellIs" dxfId="30" priority="57" operator="lessThan">
      <formula>-0.1</formula>
    </cfRule>
  </conditionalFormatting>
  <conditionalFormatting sqref="BI32">
    <cfRule type="cellIs" dxfId="29" priority="52" operator="between">
      <formula>0</formula>
      <formula>-0.1</formula>
    </cfRule>
    <cfRule type="cellIs" dxfId="28" priority="53" operator="greaterThan">
      <formula>0</formula>
    </cfRule>
    <cfRule type="cellIs" dxfId="27" priority="54" operator="lessThan">
      <formula>-0.1</formula>
    </cfRule>
  </conditionalFormatting>
  <conditionalFormatting sqref="BI34">
    <cfRule type="cellIs" dxfId="26" priority="43" operator="between">
      <formula>0</formula>
      <formula>-0.1</formula>
    </cfRule>
    <cfRule type="cellIs" dxfId="25" priority="44" operator="greaterThan">
      <formula>0</formula>
    </cfRule>
    <cfRule type="cellIs" dxfId="24" priority="45" operator="lessThan">
      <formula>-0.1</formula>
    </cfRule>
  </conditionalFormatting>
  <conditionalFormatting sqref="BI35">
    <cfRule type="cellIs" dxfId="23" priority="40" operator="between">
      <formula>0</formula>
      <formula>-0.1</formula>
    </cfRule>
    <cfRule type="cellIs" dxfId="22" priority="41" operator="greaterThan">
      <formula>0</formula>
    </cfRule>
    <cfRule type="cellIs" dxfId="21" priority="42" operator="lessThan">
      <formula>-0.1</formula>
    </cfRule>
  </conditionalFormatting>
  <conditionalFormatting sqref="BI36">
    <cfRule type="cellIs" dxfId="20" priority="37" operator="between">
      <formula>0</formula>
      <formula>-0.1</formula>
    </cfRule>
    <cfRule type="cellIs" dxfId="19" priority="38" operator="greaterThan">
      <formula>0</formula>
    </cfRule>
    <cfRule type="cellIs" dxfId="18" priority="39" operator="lessThan">
      <formula>-0.1</formula>
    </cfRule>
  </conditionalFormatting>
  <conditionalFormatting sqref="BI23">
    <cfRule type="cellIs" dxfId="17" priority="34" operator="between">
      <formula>0</formula>
      <formula>-0.1</formula>
    </cfRule>
    <cfRule type="cellIs" dxfId="16" priority="35" operator="greaterThan">
      <formula>0</formula>
    </cfRule>
    <cfRule type="cellIs" dxfId="15" priority="36" operator="lessThan">
      <formula>-0.1</formula>
    </cfRule>
  </conditionalFormatting>
  <conditionalFormatting sqref="BI21">
    <cfRule type="cellIs" dxfId="14" priority="31" operator="between">
      <formula>0</formula>
      <formula>-0.1</formula>
    </cfRule>
    <cfRule type="cellIs" dxfId="13" priority="32" operator="greaterThan">
      <formula>0</formula>
    </cfRule>
    <cfRule type="cellIs" dxfId="12" priority="33" operator="lessThan">
      <formula>-0.1</formula>
    </cfRule>
  </conditionalFormatting>
  <conditionalFormatting sqref="BI11">
    <cfRule type="cellIs" dxfId="11" priority="28" operator="between">
      <formula>0</formula>
      <formula>-0.1</formula>
    </cfRule>
    <cfRule type="cellIs" dxfId="10" priority="29" operator="greaterThan">
      <formula>0</formula>
    </cfRule>
    <cfRule type="cellIs" dxfId="9" priority="30" operator="lessThan">
      <formula>-0.1</formula>
    </cfRule>
  </conditionalFormatting>
  <conditionalFormatting sqref="BI33">
    <cfRule type="cellIs" dxfId="8" priority="13" operator="between">
      <formula>0</formula>
      <formula>-0.1</formula>
    </cfRule>
    <cfRule type="cellIs" dxfId="7" priority="14" operator="greaterThan">
      <formula>0</formula>
    </cfRule>
    <cfRule type="cellIs" dxfId="6" priority="15" operator="lessThan">
      <formula>-0.1</formula>
    </cfRule>
  </conditionalFormatting>
  <conditionalFormatting sqref="BI40">
    <cfRule type="cellIs" dxfId="5" priority="7" operator="between">
      <formula>0</formula>
      <formula>-0.1</formula>
    </cfRule>
    <cfRule type="cellIs" dxfId="4" priority="8" operator="greaterThan">
      <formula>0</formula>
    </cfRule>
    <cfRule type="cellIs" dxfId="3" priority="9" operator="lessThan">
      <formula>-0.1</formula>
    </cfRule>
  </conditionalFormatting>
  <conditionalFormatting sqref="BI37">
    <cfRule type="cellIs" dxfId="2" priority="4" operator="between">
      <formula>0</formula>
      <formula>-0.1</formula>
    </cfRule>
    <cfRule type="cellIs" dxfId="1" priority="5" operator="greaterThan">
      <formula>0</formula>
    </cfRule>
    <cfRule type="cellIs" dxfId="0" priority="6" operator="lessThan">
      <formula>-0.1</formula>
    </cfRule>
  </conditionalFormatting>
  <hyperlinks>
    <hyperlink ref="BR24" r:id="rId3" xr:uid="{24426B85-44EE-4996-8796-23B0144900ED}"/>
    <hyperlink ref="BV24" r:id="rId4" xr:uid="{2DAC350C-1C93-4F8D-8912-D890EC0924EE}"/>
    <hyperlink ref="BV13" r:id="rId5" xr:uid="{FA8F2F30-9D27-45C4-A67E-CDFA72088FBC}"/>
    <hyperlink ref="BT24" r:id="rId6" xr:uid="{2FBBA737-7143-4201-9D36-CC8EF4B24136}"/>
    <hyperlink ref="BR31" r:id="rId7" xr:uid="{A90B8640-348E-4EEC-B6B6-C8AD3B3C7C04}"/>
    <hyperlink ref="BU31" r:id="rId8" xr:uid="{6D32991B-B6F7-4778-9313-2FD1D1329FE8}"/>
    <hyperlink ref="BV31" r:id="rId9" xr:uid="{E818AC1D-A82E-442D-A8E1-B59605371800}"/>
    <hyperlink ref="BT5" r:id="rId10" xr:uid="{37A3B944-9B0E-4D25-80BF-3F9F11DE37F7}"/>
    <hyperlink ref="BU5" r:id="rId11" xr:uid="{D9221867-C4C1-408C-B5B9-CD7891EBF755}"/>
    <hyperlink ref="BV5" r:id="rId12" xr:uid="{AAA485D9-566B-4278-A16B-7A220F291DD0}"/>
    <hyperlink ref="BT9" r:id="rId13" xr:uid="{AB2F9DF6-C1DC-4350-B84C-B8E60D1B4503}"/>
    <hyperlink ref="BR8" r:id="rId14" xr:uid="{A07CBAFB-1D49-4A28-AC3B-5DEABD70762D}"/>
    <hyperlink ref="BT8" r:id="rId15" xr:uid="{BB1D34B6-8A9E-49C4-9942-5C457A97C405}"/>
    <hyperlink ref="BT6" r:id="rId16" xr:uid="{09467119-EA28-4DE4-B3E4-1D5579E447E0}"/>
    <hyperlink ref="BV6" r:id="rId17" xr:uid="{960DDC8F-26E7-4F98-96E6-32CA35396EDD}"/>
    <hyperlink ref="BR33" r:id="rId18" xr:uid="{88E7A1F1-D539-4E9B-9169-396E47411BEA}"/>
    <hyperlink ref="BR32" r:id="rId19" xr:uid="{B934E536-597F-4E91-90E7-B040D3922AC2}"/>
    <hyperlink ref="BR34" r:id="rId20" xr:uid="{38DC31ED-3C83-4D72-90B1-619DDA84A67A}"/>
    <hyperlink ref="BR35" r:id="rId21" xr:uid="{2E8AB1E5-27B1-4461-862A-9FD4FE831712}"/>
    <hyperlink ref="BR36" r:id="rId22" xr:uid="{3A2EAEBD-D493-4CD0-9819-DF5F41DB8C77}"/>
    <hyperlink ref="BR25" r:id="rId23" xr:uid="{3C2C4745-1C1B-41FA-8886-3A1297088381}"/>
    <hyperlink ref="BT25" r:id="rId24" xr:uid="{A33B0CDD-F30D-411D-A3D2-D8E362EE2FDE}"/>
    <hyperlink ref="BU25" r:id="rId25" xr:uid="{99C72A47-733B-4259-8FE5-DA1562DC4E6F}"/>
    <hyperlink ref="BV25" r:id="rId26" xr:uid="{3BDA8106-F8E0-4437-A7FC-58A48A2624C9}"/>
    <hyperlink ref="BT7" r:id="rId27" xr:uid="{7D22EC27-AA54-43C3-A6E7-9688371E321F}"/>
    <hyperlink ref="BR19" r:id="rId28" xr:uid="{4CA27F0B-C789-42F7-BAEB-C9A77822E4BB}"/>
    <hyperlink ref="BU7" r:id="rId29" xr:uid="{88F4A26F-7ED9-415E-882F-E5F5B5C8CFE3}"/>
    <hyperlink ref="BT19" r:id="rId30" xr:uid="{C6304B2F-99B6-4C96-88FD-3DA66CF51DB9}"/>
    <hyperlink ref="BV19" r:id="rId31" xr:uid="{BB903EA2-531A-4BC7-86AF-10AD48AD74D5}"/>
    <hyperlink ref="BR11" r:id="rId32" xr:uid="{8CBAC352-3ACC-4C60-BE93-AE4761D13851}"/>
    <hyperlink ref="BV29" r:id="rId33" xr:uid="{58991BF2-CA9E-4A98-BC8D-E5DCBB043586}"/>
    <hyperlink ref="BU29" r:id="rId34" xr:uid="{380B5A68-9421-43F9-86F2-F2E6842576AC}"/>
    <hyperlink ref="BR7" r:id="rId35" xr:uid="{453F55AF-9715-4F48-B6E4-B4A722496BE6}"/>
    <hyperlink ref="BV7" r:id="rId36" xr:uid="{EACE8137-B3B3-4BBF-92C1-71A807C0C85F}"/>
    <hyperlink ref="BR29" r:id="rId37" xr:uid="{DF396EA3-58C0-4EB8-89CF-2BA7678A3C23}"/>
    <hyperlink ref="BT10" r:id="rId38" xr:uid="{76478FA3-6A93-478A-97AC-F0F5742E7881}"/>
    <hyperlink ref="BV10" r:id="rId39" xr:uid="{317FAFA7-9215-4CB1-99E9-1A2B1198ACA1}"/>
    <hyperlink ref="BR17" r:id="rId40" xr:uid="{73A3E6E4-0C78-435D-8CB3-E84D5C15D329}"/>
    <hyperlink ref="BT14" r:id="rId41" xr:uid="{CBB1031B-2ED6-46AF-8881-31679E3020D6}"/>
    <hyperlink ref="BV14" r:id="rId42" xr:uid="{344D5EE4-7DCF-4921-B2CF-E5544987CDCE}"/>
    <hyperlink ref="BU24" r:id="rId43" xr:uid="{B3B140E6-8C68-4FAC-83A4-545353AFD23D}"/>
    <hyperlink ref="BR16" r:id="rId44" xr:uid="{6B54DB29-F2B9-4BB8-B24F-08FC96755051}"/>
    <hyperlink ref="BR10" r:id="rId45" display="gantt di sintesi FERR-MATE + prev al 31_10_24" xr:uid="{E503F073-CD0F-436D-ACF5-23E8ECD2D545}"/>
    <hyperlink ref="BR15" r:id="rId46" xr:uid="{3A6E59D7-2AFF-46B9-9DDB-971FFD159740}"/>
    <hyperlink ref="BR14" r:id="rId47" xr:uid="{B8961EE8-AA5D-46ED-9638-4DB3DC88EFA4}"/>
    <hyperlink ref="BU19" r:id="rId48" xr:uid="{4ECB4322-4560-4118-AC0D-14F25C64F6D7}"/>
    <hyperlink ref="BV17" r:id="rId49" xr:uid="{4DEDE7B3-1BBC-497C-A9D4-3565129E0122}"/>
    <hyperlink ref="BV15" r:id="rId50" xr:uid="{B431745F-011D-4D80-8986-F29ABA10F633}"/>
    <hyperlink ref="BV16" r:id="rId51" xr:uid="{8707FC7E-2879-42AE-9E7E-5B1EB029747C}"/>
    <hyperlink ref="BV12" r:id="rId52" xr:uid="{5F37610B-03F6-447E-A92C-E13A42E79A4C}"/>
    <hyperlink ref="BR12" r:id="rId53" xr:uid="{06614AFC-5EFB-4960-A227-A57D06A0FDCD}"/>
    <hyperlink ref="BT12" r:id="rId54" xr:uid="{0D707389-E2BE-4AED-89DC-B800B193137A}"/>
    <hyperlink ref="BU12" r:id="rId55" xr:uid="{8055818F-E37E-4C7E-B1F0-589A6B12DBB0}"/>
    <hyperlink ref="BR5" r:id="rId56" xr:uid="{B35C19AD-F52E-4139-956D-5FC303B6E87D}"/>
    <hyperlink ref="BR6" r:id="rId57" xr:uid="{897303ED-E934-4702-BCC0-D18F9D3A5F01}"/>
    <hyperlink ref="BU6" r:id="rId58" xr:uid="{A3F966B0-08E8-48B8-AFF1-7DF74F674DD1}"/>
    <hyperlink ref="BV18" r:id="rId59" xr:uid="{EE07AD4A-1715-4FCF-9E01-0FCB8D1948CF}"/>
    <hyperlink ref="BU8" r:id="rId60" xr:uid="{5A65E25C-382A-43EA-97BC-069ED23B7AF9}"/>
    <hyperlink ref="BT18" r:id="rId61" xr:uid="{C1AF50BD-7F1D-4DC4-9AF4-83B10318C3BC}"/>
    <hyperlink ref="BV8" r:id="rId62" xr:uid="{63EF5032-DD5B-4481-B8E7-8F3656892B8B}"/>
    <hyperlink ref="BR9" r:id="rId63" xr:uid="{C727C0CF-E144-4A2E-8C3F-35B0C225B3B4}"/>
    <hyperlink ref="BU9" r:id="rId64" xr:uid="{1B31A35A-33F5-4DA8-9F04-753BC2BB816A}"/>
    <hyperlink ref="BV9" r:id="rId65" xr:uid="{13A0D97D-E79A-4DCB-A4A0-2601DCBDB898}"/>
    <hyperlink ref="BU18" r:id="rId66" xr:uid="{BC4CBE45-AB9C-4CE8-9EC3-349B8438F66D}"/>
    <hyperlink ref="BU14" r:id="rId67" xr:uid="{E0C2C573-D7C1-49B6-AA22-3F0A5EBB2359}"/>
    <hyperlink ref="BT15" r:id="rId68" xr:uid="{1A91BFE0-B412-46B4-A681-42CBDAD40521}"/>
    <hyperlink ref="BT31" r:id="rId69" xr:uid="{6EA6342F-BA31-4E36-9F91-9AA0B5D34C83}"/>
    <hyperlink ref="BV11" r:id="rId70" xr:uid="{F705D51F-B68D-406C-99DF-E1F3F5A4874E}"/>
    <hyperlink ref="BR21" r:id="rId71" xr:uid="{653166BB-573A-48EA-B328-33C3BAC9DE5B}"/>
    <hyperlink ref="BT21" r:id="rId72" display="Curva S" xr:uid="{F73CDE27-D057-47F1-951C-209B1DCD1825}"/>
    <hyperlink ref="BV21" r:id="rId73" xr:uid="{4E91977A-8E33-478B-8FA2-BE923A0F33AC}"/>
    <hyperlink ref="BU21" r:id="rId74" xr:uid="{4ACCFAB6-8B1B-4DB6-83AB-E9A07F0B10CB}"/>
    <hyperlink ref="BV22" r:id="rId75" xr:uid="{EDEF22E1-DE1A-4A1F-B20C-3D74835C669C}"/>
    <hyperlink ref="BU22" r:id="rId76" xr:uid="{9A39DDC9-5E03-482B-9CA3-976D944347F3}"/>
    <hyperlink ref="BT22" r:id="rId77" xr:uid="{C8A0CC86-D3BA-4E80-9412-59DC0A2D8438}"/>
    <hyperlink ref="BU23" r:id="rId78" xr:uid="{DB05E08F-B644-4C8B-B440-64436CC2EE5C}"/>
    <hyperlink ref="BV23" r:id="rId79" display="TABULATO PRODUZIONI" xr:uid="{5FA35AC6-E684-44C8-80E5-4FCF05E3DADC}"/>
    <hyperlink ref="BT23" r:id="rId80" xr:uid="{291CC6C1-9BCB-4069-93B8-CE9479671630}"/>
    <hyperlink ref="BR23" r:id="rId81" xr:uid="{4BD567D7-78A9-403C-8DE1-6A0EE73179E9}"/>
    <hyperlink ref="BT16" r:id="rId82" xr:uid="{B2CAE770-FDC7-432A-B85A-DE86FEB167F3}"/>
    <hyperlink ref="BT17" r:id="rId83" xr:uid="{C3A3B298-FA2E-4F8F-9148-53C822B371C8}"/>
  </hyperlinks>
  <printOptions horizontalCentered="1"/>
  <pageMargins left="0.23622047244094491" right="0.23622047244094491" top="0.35433070866141736" bottom="0.35433070866141736" header="0" footer="0.31496062992125984"/>
  <pageSetup paperSize="8" scale="57" fitToHeight="3" orientation="landscape" r:id="rId84"/>
  <drawing r:id="rId85"/>
  <legacyDrawing r:id="rId8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96bd5f-619d-41c3-8c54-11aa035b2684">
      <Terms xmlns="http://schemas.microsoft.com/office/infopath/2007/PartnerControls"/>
    </lcf76f155ced4ddcb4097134ff3c332f>
    <TaxCatchAll xmlns="742a53ca-906c-473e-b5a7-1b7df74a5244" xsi:nil="true"/>
    <MediaLengthInSeconds xmlns="4896bd5f-619d-41c3-8c54-11aa035b26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F5A9A50EDB14C8B57CC483CD4E3B5" ma:contentTypeVersion="16" ma:contentTypeDescription="Creare un nuovo documento." ma:contentTypeScope="" ma:versionID="1fbf09e5bc89dccd875e10719cbf798b">
  <xsd:schema xmlns:xsd="http://www.w3.org/2001/XMLSchema" xmlns:xs="http://www.w3.org/2001/XMLSchema" xmlns:p="http://schemas.microsoft.com/office/2006/metadata/properties" xmlns:ns2="4896bd5f-619d-41c3-8c54-11aa035b2684" xmlns:ns3="742a53ca-906c-473e-b5a7-1b7df74a5244" targetNamespace="http://schemas.microsoft.com/office/2006/metadata/properties" ma:root="true" ma:fieldsID="79c665f45cbb6d210bb0b4018c86ae55" ns2:_="" ns3:_="">
    <xsd:import namespace="4896bd5f-619d-41c3-8c54-11aa035b2684"/>
    <xsd:import namespace="742a53ca-906c-473e-b5a7-1b7df74a52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6bd5f-619d-41c3-8c54-11aa035b26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 immagine" ma:readOnly="false" ma:fieldId="{5cf76f15-5ced-4ddc-b409-7134ff3c332f}" ma:taxonomyMulti="true" ma:sspId="2f0c148f-5ca2-4a38-b716-16d776545e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a53ca-906c-473e-b5a7-1b7df74a524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ab1cf4e-f284-4821-afab-dadfee43d538}" ma:internalName="TaxCatchAll" ma:showField="CatchAllData" ma:web="742a53ca-906c-473e-b5a7-1b7df74a52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7913C-0A94-422D-8E75-4B42A63152CB}">
  <ds:schemaRefs>
    <ds:schemaRef ds:uri="http://schemas.microsoft.com/office/2006/metadata/properties"/>
    <ds:schemaRef ds:uri="http://schemas.microsoft.com/office/infopath/2007/PartnerControls"/>
    <ds:schemaRef ds:uri="4896bd5f-619d-41c3-8c54-11aa035b2684"/>
    <ds:schemaRef ds:uri="742a53ca-906c-473e-b5a7-1b7df74a5244"/>
  </ds:schemaRefs>
</ds:datastoreItem>
</file>

<file path=customXml/itemProps2.xml><?xml version="1.0" encoding="utf-8"?>
<ds:datastoreItem xmlns:ds="http://schemas.openxmlformats.org/officeDocument/2006/customXml" ds:itemID="{562957B4-BF64-4ADE-AAD9-8F2C9E811B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6bd5f-619d-41c3-8c54-11aa035b2684"/>
    <ds:schemaRef ds:uri="742a53ca-906c-473e-b5a7-1b7df74a52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B0274E-FFEB-40D7-A11A-07CBBF1585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DATI</vt:lpstr>
      <vt:lpstr>DATI!Area_stampa</vt:lpstr>
      <vt:lpstr>DATI!Titoli_stampa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PUNZO MATTIA</dc:creator>
  <cp:keywords/>
  <dc:description/>
  <cp:lastModifiedBy>MOLINARI GIOVANNI</cp:lastModifiedBy>
  <cp:revision/>
  <dcterms:created xsi:type="dcterms:W3CDTF">2023-06-22T09:12:06Z</dcterms:created>
  <dcterms:modified xsi:type="dcterms:W3CDTF">2025-10-22T11:03:36Z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44a90e-04f7-4d21-b494-cfe49b26ce55_Enabled">
    <vt:lpwstr>true</vt:lpwstr>
  </property>
  <property fmtid="{D5CDD505-2E9C-101B-9397-08002B2CF9AE}" pid="3" name="MSIP_Label_8a44a90e-04f7-4d21-b494-cfe49b26ce55_SetDate">
    <vt:lpwstr>2023-06-22T11:12:01Z</vt:lpwstr>
  </property>
  <property fmtid="{D5CDD505-2E9C-101B-9397-08002B2CF9AE}" pid="4" name="MSIP_Label_8a44a90e-04f7-4d21-b494-cfe49b26ce55_Method">
    <vt:lpwstr>Privileged</vt:lpwstr>
  </property>
  <property fmtid="{D5CDD505-2E9C-101B-9397-08002B2CF9AE}" pid="5" name="MSIP_Label_8a44a90e-04f7-4d21-b494-cfe49b26ce55_Name">
    <vt:lpwstr>Internal use without footer</vt:lpwstr>
  </property>
  <property fmtid="{D5CDD505-2E9C-101B-9397-08002B2CF9AE}" pid="6" name="MSIP_Label_8a44a90e-04f7-4d21-b494-cfe49b26ce55_SiteId">
    <vt:lpwstr>4c8a6547-459a-4b75-a3dc-f66efe3e9c4e</vt:lpwstr>
  </property>
  <property fmtid="{D5CDD505-2E9C-101B-9397-08002B2CF9AE}" pid="7" name="MSIP_Label_8a44a90e-04f7-4d21-b494-cfe49b26ce55_ActionId">
    <vt:lpwstr>b2b69d0b-1422-4fbe-b7bb-0526d1e95378</vt:lpwstr>
  </property>
  <property fmtid="{D5CDD505-2E9C-101B-9397-08002B2CF9AE}" pid="8" name="MSIP_Label_8a44a90e-04f7-4d21-b494-cfe49b26ce55_ContentBits">
    <vt:lpwstr>0</vt:lpwstr>
  </property>
  <property fmtid="{D5CDD505-2E9C-101B-9397-08002B2CF9AE}" pid="9" name="ContentTypeId">
    <vt:lpwstr>0x010100C4BF5A9A50EDB14C8B57CC483CD4E3B5</vt:lpwstr>
  </property>
  <property fmtid="{D5CDD505-2E9C-101B-9397-08002B2CF9AE}" pid="10" name="MediaServiceImageTags">
    <vt:lpwstr/>
  </property>
  <property fmtid="{D5CDD505-2E9C-101B-9397-08002B2CF9AE}" pid="11" name="xd_ProgID">
    <vt:lpwstr/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_ExtendedDescription">
    <vt:lpwstr/>
  </property>
  <property fmtid="{D5CDD505-2E9C-101B-9397-08002B2CF9AE}" pid="15" name="TriggerFlowInfo">
    <vt:lpwstr/>
  </property>
  <property fmtid="{D5CDD505-2E9C-101B-9397-08002B2CF9AE}" pid="16" name="xd_Signature">
    <vt:bool>false</vt:bool>
  </property>
</Properties>
</file>