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codeName="ThisWorkbook" autoCompressPictures="0"/>
  <bookViews>
    <workbookView xWindow="2020" yWindow="3960" windowWidth="25600" windowHeight="16060" activeTab="2"/>
  </bookViews>
  <sheets>
    <sheet name="Data" sheetId="2" r:id="rId1"/>
    <sheet name="EGFunnelChart" sheetId="15" r:id="rId2"/>
    <sheet name="+mortality" sheetId="16" r:id="rId3"/>
    <sheet name="Sheet2" sheetId="17" r:id="rId4"/>
  </sheets>
  <definedNames>
    <definedName name="_xlnm.Print_Area" localSheetId="0">Data!$K$34:$AD$55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7" l="1"/>
  <c r="O16" i="17"/>
  <c r="T16" i="17"/>
  <c r="N16" i="17"/>
  <c r="S16" i="17"/>
  <c r="M16" i="17"/>
  <c r="R16" i="17"/>
  <c r="L16" i="17"/>
  <c r="Q16" i="17"/>
  <c r="J16" i="17"/>
  <c r="P16" i="17"/>
  <c r="G32" i="16"/>
  <c r="E16" i="17"/>
  <c r="I16" i="17"/>
  <c r="D16" i="17"/>
  <c r="H16" i="17"/>
  <c r="C16" i="17"/>
  <c r="G16" i="17"/>
  <c r="B16" i="17"/>
  <c r="F16" i="17"/>
  <c r="K15" i="17"/>
  <c r="O15" i="17"/>
  <c r="T15" i="17"/>
  <c r="N15" i="17"/>
  <c r="S15" i="17"/>
  <c r="M15" i="17"/>
  <c r="R15" i="17"/>
  <c r="L15" i="17"/>
  <c r="Q15" i="17"/>
  <c r="J15" i="17"/>
  <c r="P15" i="17"/>
  <c r="G31" i="16"/>
  <c r="E15" i="17"/>
  <c r="I15" i="17"/>
  <c r="D15" i="17"/>
  <c r="H15" i="17"/>
  <c r="C15" i="17"/>
  <c r="G15" i="17"/>
  <c r="B15" i="17"/>
  <c r="F15" i="17"/>
  <c r="K14" i="17"/>
  <c r="O14" i="17"/>
  <c r="T14" i="17"/>
  <c r="N14" i="17"/>
  <c r="S14" i="17"/>
  <c r="M14" i="17"/>
  <c r="R14" i="17"/>
  <c r="L14" i="17"/>
  <c r="Q14" i="17"/>
  <c r="J14" i="17"/>
  <c r="P14" i="17"/>
  <c r="G30" i="16"/>
  <c r="E14" i="17"/>
  <c r="I14" i="17"/>
  <c r="D14" i="17"/>
  <c r="H14" i="17"/>
  <c r="C14" i="17"/>
  <c r="G14" i="17"/>
  <c r="B14" i="17"/>
  <c r="F14" i="17"/>
  <c r="K13" i="17"/>
  <c r="O13" i="17"/>
  <c r="T13" i="17"/>
  <c r="N13" i="17"/>
  <c r="S13" i="17"/>
  <c r="M13" i="17"/>
  <c r="R13" i="17"/>
  <c r="L13" i="17"/>
  <c r="Q13" i="17"/>
  <c r="J13" i="17"/>
  <c r="P13" i="17"/>
  <c r="G29" i="16"/>
  <c r="E13" i="17"/>
  <c r="I13" i="17"/>
  <c r="D13" i="17"/>
  <c r="H13" i="17"/>
  <c r="C13" i="17"/>
  <c r="G13" i="17"/>
  <c r="B13" i="17"/>
  <c r="F13" i="17"/>
  <c r="K12" i="17"/>
  <c r="O12" i="17"/>
  <c r="T12" i="17"/>
  <c r="N12" i="17"/>
  <c r="S12" i="17"/>
  <c r="M12" i="17"/>
  <c r="R12" i="17"/>
  <c r="L12" i="17"/>
  <c r="Q12" i="17"/>
  <c r="J12" i="17"/>
  <c r="P12" i="17"/>
  <c r="G28" i="16"/>
  <c r="E12" i="17"/>
  <c r="I12" i="17"/>
  <c r="D12" i="17"/>
  <c r="H12" i="17"/>
  <c r="C12" i="17"/>
  <c r="G12" i="17"/>
  <c r="B12" i="17"/>
  <c r="F12" i="17"/>
  <c r="K11" i="17"/>
  <c r="O11" i="17"/>
  <c r="T11" i="17"/>
  <c r="N11" i="17"/>
  <c r="S11" i="17"/>
  <c r="M11" i="17"/>
  <c r="R11" i="17"/>
  <c r="L11" i="17"/>
  <c r="Q11" i="17"/>
  <c r="J11" i="17"/>
  <c r="P11" i="17"/>
  <c r="G27" i="16"/>
  <c r="E11" i="17"/>
  <c r="I11" i="17"/>
  <c r="D11" i="17"/>
  <c r="H11" i="17"/>
  <c r="C11" i="17"/>
  <c r="G11" i="17"/>
  <c r="B11" i="17"/>
  <c r="F11" i="17"/>
  <c r="K10" i="17"/>
  <c r="O10" i="17"/>
  <c r="T10" i="17"/>
  <c r="N10" i="17"/>
  <c r="S10" i="17"/>
  <c r="M10" i="17"/>
  <c r="R10" i="17"/>
  <c r="L10" i="17"/>
  <c r="Q10" i="17"/>
  <c r="J10" i="17"/>
  <c r="P10" i="17"/>
  <c r="G26" i="16"/>
  <c r="E10" i="17"/>
  <c r="I10" i="17"/>
  <c r="D10" i="17"/>
  <c r="H10" i="17"/>
  <c r="C10" i="17"/>
  <c r="G10" i="17"/>
  <c r="B10" i="17"/>
  <c r="F10" i="17"/>
  <c r="K9" i="17"/>
  <c r="O9" i="17"/>
  <c r="T9" i="17"/>
  <c r="N9" i="17"/>
  <c r="S9" i="17"/>
  <c r="M9" i="17"/>
  <c r="R9" i="17"/>
  <c r="L9" i="17"/>
  <c r="Q9" i="17"/>
  <c r="J9" i="17"/>
  <c r="P9" i="17"/>
  <c r="G25" i="16"/>
  <c r="E9" i="17"/>
  <c r="I9" i="17"/>
  <c r="D9" i="17"/>
  <c r="H9" i="17"/>
  <c r="C9" i="17"/>
  <c r="G9" i="17"/>
  <c r="B9" i="17"/>
  <c r="F9" i="17"/>
  <c r="K8" i="17"/>
  <c r="O8" i="17"/>
  <c r="T8" i="17"/>
  <c r="N8" i="17"/>
  <c r="S8" i="17"/>
  <c r="M8" i="17"/>
  <c r="R8" i="17"/>
  <c r="L8" i="17"/>
  <c r="Q8" i="17"/>
  <c r="J8" i="17"/>
  <c r="P8" i="17"/>
  <c r="G24" i="16"/>
  <c r="E8" i="17"/>
  <c r="I8" i="17"/>
  <c r="D8" i="17"/>
  <c r="H8" i="17"/>
  <c r="C8" i="17"/>
  <c r="G8" i="17"/>
  <c r="B8" i="17"/>
  <c r="F8" i="17"/>
  <c r="K7" i="17"/>
  <c r="O7" i="17"/>
  <c r="T7" i="17"/>
  <c r="N7" i="17"/>
  <c r="S7" i="17"/>
  <c r="M7" i="17"/>
  <c r="R7" i="17"/>
  <c r="L7" i="17"/>
  <c r="Q7" i="17"/>
  <c r="J7" i="17"/>
  <c r="P7" i="17"/>
  <c r="G23" i="16"/>
  <c r="E7" i="17"/>
  <c r="I7" i="17"/>
  <c r="D7" i="17"/>
  <c r="H7" i="17"/>
  <c r="C7" i="17"/>
  <c r="G7" i="17"/>
  <c r="B7" i="17"/>
  <c r="F7" i="17"/>
  <c r="K6" i="17"/>
  <c r="O6" i="17"/>
  <c r="T6" i="17"/>
  <c r="N6" i="17"/>
  <c r="S6" i="17"/>
  <c r="M6" i="17"/>
  <c r="R6" i="17"/>
  <c r="L6" i="17"/>
  <c r="Q6" i="17"/>
  <c r="J6" i="17"/>
  <c r="P6" i="17"/>
  <c r="G22" i="16"/>
  <c r="E6" i="17"/>
  <c r="I6" i="17"/>
  <c r="D6" i="17"/>
  <c r="H6" i="17"/>
  <c r="C6" i="17"/>
  <c r="G6" i="17"/>
  <c r="B6" i="17"/>
  <c r="F6" i="17"/>
  <c r="K5" i="17"/>
  <c r="O5" i="17"/>
  <c r="T5" i="17"/>
  <c r="N5" i="17"/>
  <c r="S5" i="17"/>
  <c r="M5" i="17"/>
  <c r="R5" i="17"/>
  <c r="L5" i="17"/>
  <c r="Q5" i="17"/>
  <c r="J5" i="17"/>
  <c r="P5" i="17"/>
  <c r="G21" i="16"/>
  <c r="E5" i="17"/>
  <c r="I5" i="17"/>
  <c r="D5" i="17"/>
  <c r="H5" i="17"/>
  <c r="C5" i="17"/>
  <c r="G5" i="17"/>
  <c r="B5" i="17"/>
  <c r="F5" i="17"/>
  <c r="K4" i="17"/>
  <c r="O4" i="17"/>
  <c r="T4" i="17"/>
  <c r="N4" i="17"/>
  <c r="S4" i="17"/>
  <c r="M4" i="17"/>
  <c r="R4" i="17"/>
  <c r="L4" i="17"/>
  <c r="Q4" i="17"/>
  <c r="J4" i="17"/>
  <c r="P4" i="17"/>
  <c r="G20" i="16"/>
  <c r="E4" i="17"/>
  <c r="I4" i="17"/>
  <c r="D4" i="17"/>
  <c r="H4" i="17"/>
  <c r="C4" i="17"/>
  <c r="G4" i="17"/>
  <c r="B4" i="17"/>
  <c r="F4" i="17"/>
  <c r="K3" i="17"/>
  <c r="O3" i="17"/>
  <c r="T3" i="17"/>
  <c r="N3" i="17"/>
  <c r="S3" i="17"/>
  <c r="M3" i="17"/>
  <c r="R3" i="17"/>
  <c r="L3" i="17"/>
  <c r="Q3" i="17"/>
  <c r="J3" i="17"/>
  <c r="P3" i="17"/>
  <c r="G19" i="16"/>
  <c r="E3" i="17"/>
  <c r="I3" i="17"/>
  <c r="D3" i="17"/>
  <c r="H3" i="17"/>
  <c r="C3" i="17"/>
  <c r="G3" i="17"/>
  <c r="B3" i="17"/>
  <c r="F3" i="17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19" i="16"/>
  <c r="F32" i="16"/>
  <c r="H32" i="16"/>
  <c r="F31" i="16"/>
  <c r="H31" i="16"/>
  <c r="F30" i="16"/>
  <c r="H30" i="16"/>
  <c r="F29" i="16"/>
  <c r="H29" i="16"/>
  <c r="F28" i="16"/>
  <c r="H28" i="16"/>
  <c r="F27" i="16"/>
  <c r="H27" i="16"/>
  <c r="F26" i="16"/>
  <c r="H26" i="16"/>
  <c r="F25" i="16"/>
  <c r="H25" i="16"/>
  <c r="F24" i="16"/>
  <c r="H24" i="16"/>
  <c r="F23" i="16"/>
  <c r="H23" i="16"/>
  <c r="F22" i="16"/>
  <c r="H22" i="16"/>
  <c r="F21" i="16"/>
  <c r="H21" i="16"/>
  <c r="F20" i="16"/>
  <c r="H20" i="16"/>
  <c r="F19" i="16"/>
  <c r="H19" i="16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G7" i="2"/>
  <c r="H7" i="2"/>
  <c r="M7" i="2"/>
  <c r="C43" i="2"/>
  <c r="G16" i="2"/>
  <c r="H16" i="2"/>
  <c r="M16" i="2"/>
  <c r="C52" i="2"/>
  <c r="G14" i="2"/>
  <c r="H14" i="2"/>
  <c r="M14" i="2"/>
  <c r="C50" i="2"/>
  <c r="G13" i="2"/>
  <c r="H13" i="2"/>
  <c r="M13" i="2"/>
  <c r="C49" i="2"/>
  <c r="G11" i="2"/>
  <c r="H11" i="2"/>
  <c r="M11" i="2"/>
  <c r="C47" i="2"/>
  <c r="G8" i="2"/>
  <c r="H8" i="2"/>
  <c r="M8" i="2"/>
  <c r="C44" i="2"/>
  <c r="G12" i="2"/>
  <c r="H12" i="2"/>
  <c r="M12" i="2"/>
  <c r="C48" i="2"/>
  <c r="G9" i="2"/>
  <c r="H9" i="2"/>
  <c r="M9" i="2"/>
  <c r="C45" i="2"/>
  <c r="G5" i="2"/>
  <c r="H5" i="2"/>
  <c r="M5" i="2"/>
  <c r="C41" i="2"/>
  <c r="G6" i="2"/>
  <c r="H6" i="2"/>
  <c r="M6" i="2"/>
  <c r="C42" i="2"/>
  <c r="G4" i="2"/>
  <c r="H4" i="2"/>
  <c r="M4" i="2"/>
  <c r="C40" i="2"/>
  <c r="G10" i="2"/>
  <c r="H10" i="2"/>
  <c r="M10" i="2"/>
  <c r="C46" i="2"/>
  <c r="G15" i="2"/>
  <c r="H15" i="2"/>
  <c r="M15" i="2"/>
  <c r="C51" i="2"/>
  <c r="G17" i="2"/>
  <c r="H17" i="2"/>
  <c r="M17" i="2"/>
  <c r="C53" i="2"/>
  <c r="E7" i="2"/>
  <c r="L7" i="2"/>
  <c r="H43" i="2"/>
  <c r="E16" i="2"/>
  <c r="L16" i="2"/>
  <c r="H52" i="2"/>
  <c r="E14" i="2"/>
  <c r="L14" i="2"/>
  <c r="H50" i="2"/>
  <c r="E13" i="2"/>
  <c r="L13" i="2"/>
  <c r="H49" i="2"/>
  <c r="E11" i="2"/>
  <c r="L11" i="2"/>
  <c r="H47" i="2"/>
  <c r="E8" i="2"/>
  <c r="L8" i="2"/>
  <c r="H44" i="2"/>
  <c r="E12" i="2"/>
  <c r="L12" i="2"/>
  <c r="H48" i="2"/>
  <c r="E9" i="2"/>
  <c r="L9" i="2"/>
  <c r="H45" i="2"/>
  <c r="E5" i="2"/>
  <c r="L5" i="2"/>
  <c r="H41" i="2"/>
  <c r="E6" i="2"/>
  <c r="L6" i="2"/>
  <c r="H42" i="2"/>
  <c r="E4" i="2"/>
  <c r="L4" i="2"/>
  <c r="H40" i="2"/>
  <c r="E10" i="2"/>
  <c r="L10" i="2"/>
  <c r="H46" i="2"/>
  <c r="E15" i="2"/>
  <c r="L15" i="2"/>
  <c r="H51" i="2"/>
  <c r="K7" i="2"/>
  <c r="P7" i="2"/>
  <c r="G43" i="2"/>
  <c r="K16" i="2"/>
  <c r="P16" i="2"/>
  <c r="G52" i="2"/>
  <c r="K14" i="2"/>
  <c r="P14" i="2"/>
  <c r="G50" i="2"/>
  <c r="K13" i="2"/>
  <c r="P13" i="2"/>
  <c r="G49" i="2"/>
  <c r="K11" i="2"/>
  <c r="P11" i="2"/>
  <c r="G47" i="2"/>
  <c r="K8" i="2"/>
  <c r="P8" i="2"/>
  <c r="G44" i="2"/>
  <c r="K12" i="2"/>
  <c r="P12" i="2"/>
  <c r="G48" i="2"/>
  <c r="K9" i="2"/>
  <c r="P9" i="2"/>
  <c r="G45" i="2"/>
  <c r="K5" i="2"/>
  <c r="P5" i="2"/>
  <c r="G41" i="2"/>
  <c r="K6" i="2"/>
  <c r="P6" i="2"/>
  <c r="G42" i="2"/>
  <c r="K4" i="2"/>
  <c r="P4" i="2"/>
  <c r="G40" i="2"/>
  <c r="K10" i="2"/>
  <c r="P10" i="2"/>
  <c r="G46" i="2"/>
  <c r="K15" i="2"/>
  <c r="P15" i="2"/>
  <c r="G51" i="2"/>
  <c r="J7" i="2"/>
  <c r="O7" i="2"/>
  <c r="F43" i="2"/>
  <c r="J16" i="2"/>
  <c r="O16" i="2"/>
  <c r="F52" i="2"/>
  <c r="J14" i="2"/>
  <c r="O14" i="2"/>
  <c r="F50" i="2"/>
  <c r="J13" i="2"/>
  <c r="O13" i="2"/>
  <c r="F49" i="2"/>
  <c r="J11" i="2"/>
  <c r="O11" i="2"/>
  <c r="F47" i="2"/>
  <c r="J8" i="2"/>
  <c r="O8" i="2"/>
  <c r="F44" i="2"/>
  <c r="J12" i="2"/>
  <c r="O12" i="2"/>
  <c r="F48" i="2"/>
  <c r="J9" i="2"/>
  <c r="O9" i="2"/>
  <c r="F45" i="2"/>
  <c r="J5" i="2"/>
  <c r="O5" i="2"/>
  <c r="F41" i="2"/>
  <c r="J6" i="2"/>
  <c r="O6" i="2"/>
  <c r="F42" i="2"/>
  <c r="J4" i="2"/>
  <c r="O4" i="2"/>
  <c r="F40" i="2"/>
  <c r="J10" i="2"/>
  <c r="O10" i="2"/>
  <c r="F46" i="2"/>
  <c r="J15" i="2"/>
  <c r="O15" i="2"/>
  <c r="F51" i="2"/>
  <c r="I7" i="2"/>
  <c r="N7" i="2"/>
  <c r="E43" i="2"/>
  <c r="I16" i="2"/>
  <c r="N16" i="2"/>
  <c r="E52" i="2"/>
  <c r="I14" i="2"/>
  <c r="N14" i="2"/>
  <c r="E50" i="2"/>
  <c r="I13" i="2"/>
  <c r="N13" i="2"/>
  <c r="E49" i="2"/>
  <c r="I11" i="2"/>
  <c r="N11" i="2"/>
  <c r="E47" i="2"/>
  <c r="I8" i="2"/>
  <c r="N8" i="2"/>
  <c r="E44" i="2"/>
  <c r="I12" i="2"/>
  <c r="N12" i="2"/>
  <c r="E48" i="2"/>
  <c r="I9" i="2"/>
  <c r="N9" i="2"/>
  <c r="E45" i="2"/>
  <c r="I5" i="2"/>
  <c r="N5" i="2"/>
  <c r="E41" i="2"/>
  <c r="I6" i="2"/>
  <c r="N6" i="2"/>
  <c r="E42" i="2"/>
  <c r="I4" i="2"/>
  <c r="N4" i="2"/>
  <c r="E40" i="2"/>
  <c r="I10" i="2"/>
  <c r="N10" i="2"/>
  <c r="E46" i="2"/>
  <c r="I15" i="2"/>
  <c r="N15" i="2"/>
  <c r="E51" i="2"/>
  <c r="E17" i="2"/>
  <c r="L17" i="2"/>
  <c r="H53" i="2"/>
  <c r="K17" i="2"/>
  <c r="P17" i="2"/>
  <c r="G53" i="2"/>
  <c r="J17" i="2"/>
  <c r="O17" i="2"/>
  <c r="F53" i="2"/>
  <c r="I17" i="2"/>
  <c r="N17" i="2"/>
  <c r="E53" i="2"/>
  <c r="D43" i="2"/>
  <c r="D52" i="2"/>
  <c r="D50" i="2"/>
  <c r="D49" i="2"/>
  <c r="D47" i="2"/>
  <c r="D44" i="2"/>
  <c r="D48" i="2"/>
  <c r="D45" i="2"/>
  <c r="D41" i="2"/>
  <c r="D42" i="2"/>
  <c r="D40" i="2"/>
  <c r="D46" i="2"/>
  <c r="D51" i="2"/>
  <c r="D53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D26" i="2"/>
  <c r="D34" i="2"/>
  <c r="D27" i="2"/>
  <c r="D35" i="2"/>
  <c r="D28" i="2"/>
  <c r="D29" i="2"/>
  <c r="D33" i="2"/>
  <c r="C35" i="2"/>
  <c r="E23" i="2"/>
  <c r="C27" i="2"/>
  <c r="C31" i="2"/>
  <c r="E24" i="2"/>
  <c r="E27" i="2"/>
  <c r="E31" i="2"/>
  <c r="E35" i="2"/>
  <c r="C25" i="2"/>
  <c r="C29" i="2"/>
  <c r="C33" i="2"/>
  <c r="C23" i="2"/>
  <c r="E25" i="2"/>
  <c r="E29" i="2"/>
  <c r="E33" i="2"/>
  <c r="E26" i="2"/>
  <c r="E28" i="2"/>
  <c r="E30" i="2"/>
  <c r="E32" i="2"/>
  <c r="E34" i="2"/>
  <c r="E22" i="2"/>
  <c r="C22" i="2"/>
  <c r="C24" i="2"/>
  <c r="C26" i="2"/>
  <c r="C28" i="2"/>
  <c r="C30" i="2"/>
  <c r="C32" i="2"/>
  <c r="C34" i="2"/>
  <c r="G22" i="2"/>
  <c r="F22" i="2"/>
  <c r="F33" i="2"/>
  <c r="G33" i="2"/>
  <c r="F29" i="2"/>
  <c r="G29" i="2"/>
  <c r="F25" i="2"/>
  <c r="G25" i="2"/>
  <c r="D24" i="2"/>
  <c r="D23" i="2"/>
  <c r="D22" i="2"/>
  <c r="G32" i="2"/>
  <c r="F32" i="2"/>
  <c r="G28" i="2"/>
  <c r="F28" i="2"/>
  <c r="G24" i="2"/>
  <c r="F24" i="2"/>
  <c r="D25" i="2"/>
  <c r="G35" i="2"/>
  <c r="F35" i="2"/>
  <c r="G31" i="2"/>
  <c r="F31" i="2"/>
  <c r="G27" i="2"/>
  <c r="F27" i="2"/>
  <c r="G23" i="2"/>
  <c r="F23" i="2"/>
  <c r="D32" i="2"/>
  <c r="D31" i="2"/>
  <c r="D30" i="2"/>
  <c r="G34" i="2"/>
  <c r="F34" i="2"/>
  <c r="G30" i="2"/>
  <c r="F30" i="2"/>
  <c r="G26" i="2"/>
  <c r="F26" i="2"/>
</calcChain>
</file>

<file path=xl/sharedStrings.xml><?xml version="1.0" encoding="utf-8"?>
<sst xmlns="http://schemas.openxmlformats.org/spreadsheetml/2006/main" count="125" uniqueCount="69">
  <si>
    <t>Unit ID</t>
  </si>
  <si>
    <t>case volume (surgical episodes)</t>
  </si>
  <si>
    <t>Total expected deaths</t>
  </si>
  <si>
    <t>RVB</t>
  </si>
  <si>
    <t>HSC</t>
  </si>
  <si>
    <t>GRL</t>
  </si>
  <si>
    <t>FRE</t>
  </si>
  <si>
    <t>OLS</t>
  </si>
  <si>
    <t>RHS</t>
  </si>
  <si>
    <t>BRC</t>
  </si>
  <si>
    <t>SGH</t>
  </si>
  <si>
    <t>LGI</t>
  </si>
  <si>
    <t>NHB</t>
  </si>
  <si>
    <t>GUY</t>
  </si>
  <si>
    <t>ACH</t>
  </si>
  <si>
    <t>BCH</t>
  </si>
  <si>
    <t>GOS</t>
  </si>
  <si>
    <t>actual survival</t>
  </si>
  <si>
    <t>Total actual deaths</t>
  </si>
  <si>
    <t>RAW DATA</t>
  </si>
  <si>
    <t>FROM PRAiS</t>
  </si>
  <si>
    <t>predicted survival</t>
  </si>
  <si>
    <t>lower 99.9% limit</t>
  </si>
  <si>
    <t>lower 97.5% limit</t>
  </si>
  <si>
    <t>upper 97.5% limit</t>
  </si>
  <si>
    <t>upper 99.9% limit</t>
  </si>
  <si>
    <t>Actual/ predicted survival ratio</t>
  </si>
  <si>
    <t>ratio lower 99.9% limit</t>
  </si>
  <si>
    <t>ratio lower 97.5% limit</t>
  </si>
  <si>
    <t>ratio upper 97.5% limit</t>
  </si>
  <si>
    <t>ratio upper 99.9% limit</t>
  </si>
  <si>
    <t>Lower and upper limits on observed survival</t>
  </si>
  <si>
    <t>DATA FOR BAR CHART / FUNNEL (STACKED PLOT)</t>
  </si>
  <si>
    <t>total max (1.03)</t>
  </si>
  <si>
    <t>chart label</t>
  </si>
  <si>
    <t>actual ratio for chart</t>
  </si>
  <si>
    <t>Lower and upper limits on ratio of actual/predicted survival</t>
  </si>
  <si>
    <t>Survival much lower than predicted</t>
  </si>
  <si>
    <t>Survival lower than predicted</t>
  </si>
  <si>
    <t>Survival as predicted</t>
  </si>
  <si>
    <t>Survival higher than predicted</t>
  </si>
  <si>
    <t>Survival much higher than predicted</t>
  </si>
  <si>
    <t>The dot</t>
  </si>
  <si>
    <t>Horizontal Bar</t>
  </si>
  <si>
    <t>Belfast, RoyalVictoria Hospital</t>
  </si>
  <si>
    <t>London, Harley Street Clinic</t>
  </si>
  <si>
    <t>Leicester, Glenfield Hospital</t>
  </si>
  <si>
    <t>Newcastle, Freeman Hospital</t>
  </si>
  <si>
    <t>Dublin, Our Lady's Children's Hospital</t>
  </si>
  <si>
    <t>Glasgow, Royal Hospital for Sick Children</t>
  </si>
  <si>
    <t>Bristol Royal Hospital for Children</t>
  </si>
  <si>
    <t>Southampton, Wessex Cardiothoracic Centre</t>
  </si>
  <si>
    <t>Leeds General Infirmary</t>
  </si>
  <si>
    <t>London, Royal Brompton Hospital</t>
  </si>
  <si>
    <t>Birmingham Children's Hospital</t>
  </si>
  <si>
    <t>London, Great Ormond Street Hospital for Children</t>
  </si>
  <si>
    <t>London, Evelina Children's Hospital</t>
  </si>
  <si>
    <t>Liverpool, Alder Hey Hospital</t>
  </si>
  <si>
    <t>predicted mortality</t>
  </si>
  <si>
    <t>actual mortality</t>
  </si>
  <si>
    <t>Lower and upper limits on observed mortality</t>
  </si>
  <si>
    <t>Actual/ predicted mortality ratio</t>
  </si>
  <si>
    <t>Code</t>
  </si>
  <si>
    <t>Unit</t>
  </si>
  <si>
    <t>Operations</t>
  </si>
  <si>
    <t>Number of deaths</t>
  </si>
  <si>
    <t>Number of survivors</t>
  </si>
  <si>
    <t>Survival %</t>
  </si>
  <si>
    <t>Actual/ Predicted Survival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</si>
</sst>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0.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theme="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2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2" fillId="4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5" fontId="0" fillId="2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0" fillId="6" borderId="1" xfId="0" applyFill="1" applyBorder="1"/>
    <xf numFmtId="166" fontId="0" fillId="6" borderId="1" xfId="0" applyNumberFormat="1" applyFill="1" applyBorder="1"/>
    <xf numFmtId="164" fontId="0" fillId="2" borderId="1" xfId="1" applyNumberFormat="1" applyFont="1" applyFill="1" applyBorder="1"/>
    <xf numFmtId="164" fontId="0" fillId="2" borderId="1" xfId="0" applyNumberFormat="1" applyFill="1" applyBorder="1"/>
    <xf numFmtId="0" fontId="2" fillId="5" borderId="1" xfId="0" applyFont="1" applyFill="1" applyBorder="1" applyAlignment="1">
      <alignment horizontal="center" wrapText="1"/>
    </xf>
    <xf numFmtId="0" fontId="5" fillId="7" borderId="0" xfId="0" applyFont="1" applyFill="1" applyAlignment="1">
      <alignment wrapText="1"/>
    </xf>
    <xf numFmtId="0" fontId="0" fillId="6" borderId="1" xfId="0" applyNumberFormat="1" applyFill="1" applyBorder="1"/>
    <xf numFmtId="0" fontId="5" fillId="0" borderId="0" xfId="0" applyNumberFormat="1" applyFont="1"/>
    <xf numFmtId="10" fontId="0" fillId="2" borderId="1" xfId="0" applyNumberFormat="1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22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Normal 2" xfId="2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00A5C6"/>
      <color rgb="FF1C9985"/>
      <color rgb="FF009AB8"/>
      <color rgb="FF84B9C8"/>
      <color rgb="FFFFFF99"/>
      <color rgb="FF777777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Pediatric Surgery 2010-2013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66226784069513"/>
          <c:y val="0.0059210528769603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196377052189174"/>
          <c:y val="0.100807650261403"/>
          <c:w val="0.566884879833618"/>
          <c:h val="0.7172055563008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Data!$C$39</c:f>
              <c:strCache>
                <c:ptCount val="1"/>
                <c:pt idx="0">
                  <c:v>Survival much lower than predicted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Data!#REF!</c:f>
            </c:multiLvlStrRef>
          </c:cat>
          <c:val>
            <c:numRef>
              <c:f>Data!$C$22:$C$35</c:f>
              <c:numCache>
                <c:formatCode>0.000</c:formatCode>
                <c:ptCount val="14"/>
                <c:pt idx="0">
                  <c:v>0.968075413512756</c:v>
                </c:pt>
                <c:pt idx="1">
                  <c:v>0.973425691622149</c:v>
                </c:pt>
                <c:pt idx="2">
                  <c:v>0.976259951727368</c:v>
                </c:pt>
                <c:pt idx="3">
                  <c:v>0.978665387136036</c:v>
                </c:pt>
                <c:pt idx="4">
                  <c:v>0.98093005469932</c:v>
                </c:pt>
                <c:pt idx="5">
                  <c:v>0.981951160784156</c:v>
                </c:pt>
                <c:pt idx="6">
                  <c:v>0.983701617412554</c:v>
                </c:pt>
                <c:pt idx="7">
                  <c:v>0.983226910405408</c:v>
                </c:pt>
                <c:pt idx="8">
                  <c:v>0.983553297685089</c:v>
                </c:pt>
                <c:pt idx="9">
                  <c:v>0.985694188149745</c:v>
                </c:pt>
                <c:pt idx="10">
                  <c:v>0.983768699553153</c:v>
                </c:pt>
                <c:pt idx="11">
                  <c:v>0.98388712819344</c:v>
                </c:pt>
                <c:pt idx="12">
                  <c:v>0.983683832443502</c:v>
                </c:pt>
                <c:pt idx="13">
                  <c:v>0.988374434495442</c:v>
                </c:pt>
              </c:numCache>
            </c:numRef>
          </c:val>
        </c:ser>
        <c:ser>
          <c:idx val="1"/>
          <c:order val="1"/>
          <c:tx>
            <c:strRef>
              <c:f>Data!$D$39</c:f>
              <c:strCache>
                <c:ptCount val="1"/>
                <c:pt idx="0">
                  <c:v>Survival lower than predicted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Data!#REF!</c:f>
            </c:multiLvlStrRef>
          </c:cat>
          <c:val>
            <c:numRef>
              <c:f>Data!$D$22:$D$35</c:f>
              <c:numCache>
                <c:formatCode>0.000</c:formatCode>
                <c:ptCount val="14"/>
                <c:pt idx="0">
                  <c:v>0.0131412952060556</c:v>
                </c:pt>
                <c:pt idx="1">
                  <c:v>0.0106501716807675</c:v>
                </c:pt>
                <c:pt idx="2">
                  <c:v>0.00900608811556613</c:v>
                </c:pt>
                <c:pt idx="3">
                  <c:v>0.00731439003838585</c:v>
                </c:pt>
                <c:pt idx="4">
                  <c:v>0.00831296656524849</c:v>
                </c:pt>
                <c:pt idx="5">
                  <c:v>0.00627044163974555</c:v>
                </c:pt>
                <c:pt idx="6">
                  <c:v>0.00690316924500034</c:v>
                </c:pt>
                <c:pt idx="7">
                  <c:v>0.0067190905039094</c:v>
                </c:pt>
                <c:pt idx="8">
                  <c:v>0.00667570111550963</c:v>
                </c:pt>
                <c:pt idx="9">
                  <c:v>0.00548115396561499</c:v>
                </c:pt>
                <c:pt idx="10">
                  <c:v>0.00618167046397855</c:v>
                </c:pt>
                <c:pt idx="11">
                  <c:v>0.00602028837181301</c:v>
                </c:pt>
                <c:pt idx="12">
                  <c:v>0.00635089992251902</c:v>
                </c:pt>
                <c:pt idx="13">
                  <c:v>0.00447481351214696</c:v>
                </c:pt>
              </c:numCache>
            </c:numRef>
          </c:val>
        </c:ser>
        <c:ser>
          <c:idx val="2"/>
          <c:order val="2"/>
          <c:tx>
            <c:strRef>
              <c:f>Data!$E$39</c:f>
              <c:strCache>
                <c:ptCount val="1"/>
                <c:pt idx="0">
                  <c:v>Survival as predicted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Data!#REF!</c:f>
            </c:multiLvlStrRef>
          </c:cat>
          <c:val>
            <c:numRef>
              <c:f>Data!$E$40:$E$53</c:f>
              <c:numCache>
                <c:formatCode>0.000</c:formatCode>
                <c:ptCount val="14"/>
                <c:pt idx="0">
                  <c:v>0.0306630221474629</c:v>
                </c:pt>
                <c:pt idx="1">
                  <c:v>0.0298204807061491</c:v>
                </c:pt>
                <c:pt idx="2">
                  <c:v>0.0270182643466984</c:v>
                </c:pt>
                <c:pt idx="3">
                  <c:v>0.0263318041381892</c:v>
                </c:pt>
                <c:pt idx="4">
                  <c:v>0.0207824164131211</c:v>
                </c:pt>
                <c:pt idx="5">
                  <c:v>0.021319501575135</c:v>
                </c:pt>
                <c:pt idx="6">
                  <c:v>0.0184084513200011</c:v>
                </c:pt>
                <c:pt idx="7">
                  <c:v>0.0190374230944098</c:v>
                </c:pt>
                <c:pt idx="8">
                  <c:v>0.0189144864939441</c:v>
                </c:pt>
                <c:pt idx="9">
                  <c:v>0.0164434618968446</c:v>
                </c:pt>
                <c:pt idx="10">
                  <c:v>0.0194281071725039</c:v>
                </c:pt>
                <c:pt idx="11">
                  <c:v>0.0189209063114124</c:v>
                </c:pt>
                <c:pt idx="12">
                  <c:v>0.0190526997675571</c:v>
                </c:pt>
                <c:pt idx="13">
                  <c:v>0.013983792225459</c:v>
                </c:pt>
              </c:numCache>
            </c:numRef>
          </c:val>
        </c:ser>
        <c:ser>
          <c:idx val="3"/>
          <c:order val="3"/>
          <c:tx>
            <c:strRef>
              <c:f>Data!$F$39</c:f>
              <c:strCache>
                <c:ptCount val="1"/>
                <c:pt idx="0">
                  <c:v>Survival higher than predicted</c:v>
                </c:pt>
              </c:strCache>
            </c:strRef>
          </c:tx>
          <c:spPr>
            <a:solidFill>
              <a:srgbClr val="00A5C6"/>
            </a:solidFill>
            <a:ln>
              <a:noFill/>
            </a:ln>
            <a:effectLst/>
          </c:spPr>
          <c:invertIfNegative val="0"/>
          <c:cat>
            <c:multiLvlStrRef>
              <c:f>Data!#REF!</c:f>
            </c:multiLvlStrRef>
          </c:cat>
          <c:val>
            <c:numRef>
              <c:f>Data!$F$22:$F$35</c:f>
              <c:numCache>
                <c:formatCode>0.000</c:formatCode>
                <c:ptCount val="14"/>
                <c:pt idx="0">
                  <c:v>0.00438043173535174</c:v>
                </c:pt>
                <c:pt idx="1">
                  <c:v>0.00639010300846032</c:v>
                </c:pt>
                <c:pt idx="2">
                  <c:v>0.00540365286933952</c:v>
                </c:pt>
                <c:pt idx="3">
                  <c:v>0.00585151203070877</c:v>
                </c:pt>
                <c:pt idx="4">
                  <c:v>0.00554197771016573</c:v>
                </c:pt>
                <c:pt idx="5">
                  <c:v>0.00501635331179639</c:v>
                </c:pt>
                <c:pt idx="6">
                  <c:v>0.00345158462250006</c:v>
                </c:pt>
                <c:pt idx="7">
                  <c:v>0.00447939366927308</c:v>
                </c:pt>
                <c:pt idx="8">
                  <c:v>0.00445046741033961</c:v>
                </c:pt>
                <c:pt idx="9">
                  <c:v>0.00456762830467916</c:v>
                </c:pt>
                <c:pt idx="10">
                  <c:v>0.00441547890284188</c:v>
                </c:pt>
                <c:pt idx="11">
                  <c:v>0.00516024717583963</c:v>
                </c:pt>
                <c:pt idx="12">
                  <c:v>0.00493958882862588</c:v>
                </c:pt>
                <c:pt idx="13">
                  <c:v>0.00335611013411019</c:v>
                </c:pt>
              </c:numCache>
            </c:numRef>
          </c:val>
        </c:ser>
        <c:ser>
          <c:idx val="4"/>
          <c:order val="4"/>
          <c:tx>
            <c:strRef>
              <c:f>Data!$G$39</c:f>
              <c:strCache>
                <c:ptCount val="1"/>
                <c:pt idx="0">
                  <c:v>Survival much higher than predicted</c:v>
                </c:pt>
              </c:strCache>
            </c:strRef>
          </c:tx>
          <c:spPr>
            <a:solidFill>
              <a:srgbClr val="1C9985"/>
            </a:solidFill>
            <a:ln>
              <a:noFill/>
            </a:ln>
            <a:effectLst/>
          </c:spPr>
          <c:invertIfNegative val="0"/>
          <c:cat>
            <c:multiLvlStrRef>
              <c:f>Data!#REF!</c:f>
            </c:multiLvlStrRef>
          </c:cat>
          <c:val>
            <c:numRef>
              <c:f>Data!$G$22:$G$35</c:f>
              <c:numCache>
                <c:formatCode>0.000</c:formatCode>
                <c:ptCount val="14"/>
                <c:pt idx="0">
                  <c:v>0.0137398373983741</c:v>
                </c:pt>
                <c:pt idx="1">
                  <c:v>0.00971355298247411</c:v>
                </c:pt>
                <c:pt idx="2">
                  <c:v>0.0123120429410284</c:v>
                </c:pt>
                <c:pt idx="3">
                  <c:v>0.0118369066566801</c:v>
                </c:pt>
                <c:pt idx="4">
                  <c:v>0.0144325846121447</c:v>
                </c:pt>
                <c:pt idx="5">
                  <c:v>0.0154425426891667</c:v>
                </c:pt>
                <c:pt idx="6">
                  <c:v>0.0175351773999444</c:v>
                </c:pt>
                <c:pt idx="7">
                  <c:v>0.0165371823270002</c:v>
                </c:pt>
                <c:pt idx="8">
                  <c:v>0.0164060472951173</c:v>
                </c:pt>
                <c:pt idx="9">
                  <c:v>0.0178135676831161</c:v>
                </c:pt>
                <c:pt idx="10">
                  <c:v>0.0162060439075222</c:v>
                </c:pt>
                <c:pt idx="11">
                  <c:v>0.0160114299474945</c:v>
                </c:pt>
                <c:pt idx="12">
                  <c:v>0.0159729790377963</c:v>
                </c:pt>
                <c:pt idx="13">
                  <c:v>0.0198108496328415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100"/>
        <c:axId val="2107285176"/>
        <c:axId val="2107059240"/>
      </c:barChart>
      <c:scatterChart>
        <c:scatterStyle val="lineMarker"/>
        <c:varyColors val="0"/>
        <c:ser>
          <c:idx val="5"/>
          <c:order val="5"/>
          <c:tx>
            <c:v>Actual 2013/14</c:v>
          </c:tx>
          <c:spPr>
            <a:ln w="47625">
              <a:noFill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Data!$H$40:$H$53</c:f>
              <c:numCache>
                <c:formatCode>0.000</c:formatCode>
                <c:ptCount val="14"/>
                <c:pt idx="0">
                  <c:v>0.998738435660219</c:v>
                </c:pt>
                <c:pt idx="1">
                  <c:v>1.007506241000605</c:v>
                </c:pt>
                <c:pt idx="2">
                  <c:v>1.005079433697179</c:v>
                </c:pt>
                <c:pt idx="3">
                  <c:v>1.006460069281903</c:v>
                </c:pt>
                <c:pt idx="4">
                  <c:v>0.992014010119651</c:v>
                </c:pt>
                <c:pt idx="5">
                  <c:v>0.991983867407749</c:v>
                </c:pt>
                <c:pt idx="6">
                  <c:v>0.995206899487555</c:v>
                </c:pt>
                <c:pt idx="7">
                  <c:v>1.007863575586409</c:v>
                </c:pt>
                <c:pt idx="8">
                  <c:v>0.986891148242844</c:v>
                </c:pt>
                <c:pt idx="9">
                  <c:v>1.003964701368461</c:v>
                </c:pt>
                <c:pt idx="10">
                  <c:v>0.991716561578269</c:v>
                </c:pt>
                <c:pt idx="11">
                  <c:v>0.99420762254512</c:v>
                </c:pt>
                <c:pt idx="12">
                  <c:v>1.004147843304952</c:v>
                </c:pt>
                <c:pt idx="13">
                  <c:v>1.004036281787956</c:v>
                </c:pt>
              </c:numCache>
            </c:numRef>
          </c:xVal>
          <c:yVal>
            <c:numRef>
              <c:f>Data!$J$40:$J$53</c:f>
              <c:numCache>
                <c:formatCode>General</c:formatCode>
                <c:ptCount val="14"/>
                <c:pt idx="0">
                  <c:v>13.5</c:v>
                </c:pt>
                <c:pt idx="1">
                  <c:v>12.5</c:v>
                </c:pt>
                <c:pt idx="2">
                  <c:v>11.5</c:v>
                </c:pt>
                <c:pt idx="3">
                  <c:v>10.5</c:v>
                </c:pt>
                <c:pt idx="4">
                  <c:v>9.5</c:v>
                </c:pt>
                <c:pt idx="5">
                  <c:v>8.5</c:v>
                </c:pt>
                <c:pt idx="6">
                  <c:v>7.5</c:v>
                </c:pt>
                <c:pt idx="7">
                  <c:v>6.5</c:v>
                </c:pt>
                <c:pt idx="8">
                  <c:v>5.5</c:v>
                </c:pt>
                <c:pt idx="9">
                  <c:v>4.5</c:v>
                </c:pt>
                <c:pt idx="10">
                  <c:v>3.5</c:v>
                </c:pt>
                <c:pt idx="11">
                  <c:v>2.5</c:v>
                </c:pt>
                <c:pt idx="12">
                  <c:v>1.5</c:v>
                </c:pt>
                <c:pt idx="13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73368"/>
        <c:axId val="2107454200"/>
      </c:scatterChart>
      <c:catAx>
        <c:axId val="2107285176"/>
        <c:scaling>
          <c:orientation val="maxMin"/>
        </c:scaling>
        <c:delete val="0"/>
        <c:axPos val="l"/>
        <c:majorTickMark val="none"/>
        <c:minorTickMark val="none"/>
        <c:tickLblPos val="none"/>
        <c:spPr>
          <a:noFill/>
          <a:ln>
            <a:noFill/>
          </a:ln>
        </c:spPr>
        <c:txPr>
          <a:bodyPr rot="0" vert="horz" lIns="0">
            <a:noAutofit/>
          </a:bodyPr>
          <a:lstStyle/>
          <a:p>
            <a:pPr>
              <a:defRPr sz="1200"/>
            </a:pPr>
            <a:endParaRPr lang="en-US"/>
          </a:p>
        </c:txPr>
        <c:crossAx val="2107059240"/>
        <c:crosses val="autoZero"/>
        <c:auto val="1"/>
        <c:lblAlgn val="ctr"/>
        <c:lblOffset val="100"/>
        <c:noMultiLvlLbl val="0"/>
      </c:catAx>
      <c:valAx>
        <c:axId val="2107059240"/>
        <c:scaling>
          <c:orientation val="minMax"/>
          <c:max val="1.03"/>
          <c:min val="0.97"/>
        </c:scaling>
        <c:delete val="0"/>
        <c:axPos val="t"/>
        <c:majorGridlines>
          <c:spPr>
            <a:ln>
              <a:noFill/>
            </a:ln>
          </c:spPr>
        </c:majorGridlines>
        <c:numFmt formatCode="0.00" sourceLinked="0"/>
        <c:majorTickMark val="none"/>
        <c:minorTickMark val="none"/>
        <c:tickLblPos val="none"/>
        <c:spPr>
          <a:noFill/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107285176"/>
        <c:crossesAt val="1.0"/>
        <c:crossBetween val="between"/>
        <c:minorUnit val="0.01"/>
      </c:valAx>
      <c:valAx>
        <c:axId val="2107454200"/>
        <c:scaling>
          <c:orientation val="minMax"/>
          <c:max val="14.0"/>
          <c:min val="0.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107473368"/>
        <c:crosses val="max"/>
        <c:crossBetween val="midCat"/>
        <c:majorUnit val="2.0"/>
        <c:minorUnit val="0.4"/>
      </c:valAx>
      <c:valAx>
        <c:axId val="210747336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2107454200"/>
        <c:crossesAt val="0.0"/>
        <c:crossBetween val="midCat"/>
      </c:valAx>
    </c:plotArea>
    <c:legend>
      <c:legendPos val="b"/>
      <c:layout>
        <c:manualLayout>
          <c:xMode val="edge"/>
          <c:yMode val="edge"/>
          <c:x val="0.616480336797963"/>
          <c:y val="0.109221979246663"/>
          <c:w val="0.302727372089871"/>
          <c:h val="0.149525513863469"/>
        </c:manualLayout>
      </c:layout>
      <c:overlay val="1"/>
      <c:spPr>
        <a:effectLst/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Paediatric Surgery 2010-2013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Data!$I$22:$I$35</c:f>
              <c:strCache>
                <c:ptCount val="14"/>
                <c:pt idx="0">
                  <c:v>RVB (232)</c:v>
                </c:pt>
                <c:pt idx="1">
                  <c:v>HSC (483)</c:v>
                </c:pt>
                <c:pt idx="2">
                  <c:v>GRL (570)</c:v>
                </c:pt>
                <c:pt idx="3">
                  <c:v>FRE (704)</c:v>
                </c:pt>
                <c:pt idx="4">
                  <c:v>OLS (738)</c:v>
                </c:pt>
                <c:pt idx="5">
                  <c:v>RHS (817)</c:v>
                </c:pt>
                <c:pt idx="6">
                  <c:v>BRC (886)</c:v>
                </c:pt>
                <c:pt idx="7">
                  <c:v>SGH (914)</c:v>
                </c:pt>
                <c:pt idx="8">
                  <c:v>LGI (919)</c:v>
                </c:pt>
                <c:pt idx="9">
                  <c:v>NHB (1117)</c:v>
                </c:pt>
                <c:pt idx="10">
                  <c:v>GUY (1165)</c:v>
                </c:pt>
                <c:pt idx="11">
                  <c:v>ACH (1195)</c:v>
                </c:pt>
                <c:pt idx="12">
                  <c:v>BCH (1467)</c:v>
                </c:pt>
                <c:pt idx="13">
                  <c:v>GOS (1828)</c:v>
                </c:pt>
              </c:strCache>
            </c:strRef>
          </c:cat>
          <c:val>
            <c:numRef>
              <c:f>Data!$C$22:$C$35</c:f>
              <c:numCache>
                <c:formatCode>0.000</c:formatCode>
                <c:ptCount val="14"/>
                <c:pt idx="0">
                  <c:v>0.968075413512756</c:v>
                </c:pt>
                <c:pt idx="1">
                  <c:v>0.973425691622149</c:v>
                </c:pt>
                <c:pt idx="2">
                  <c:v>0.976259951727368</c:v>
                </c:pt>
                <c:pt idx="3">
                  <c:v>0.978665387136036</c:v>
                </c:pt>
                <c:pt idx="4">
                  <c:v>0.98093005469932</c:v>
                </c:pt>
                <c:pt idx="5">
                  <c:v>0.981951160784156</c:v>
                </c:pt>
                <c:pt idx="6">
                  <c:v>0.983701617412554</c:v>
                </c:pt>
                <c:pt idx="7">
                  <c:v>0.983226910405408</c:v>
                </c:pt>
                <c:pt idx="8">
                  <c:v>0.983553297685089</c:v>
                </c:pt>
                <c:pt idx="9">
                  <c:v>0.985694188149745</c:v>
                </c:pt>
                <c:pt idx="10">
                  <c:v>0.983768699553153</c:v>
                </c:pt>
                <c:pt idx="11">
                  <c:v>0.98388712819344</c:v>
                </c:pt>
                <c:pt idx="12">
                  <c:v>0.983683832443502</c:v>
                </c:pt>
                <c:pt idx="13">
                  <c:v>0.988374434495442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Data!$I$22:$I$35</c:f>
              <c:strCache>
                <c:ptCount val="14"/>
                <c:pt idx="0">
                  <c:v>RVB (232)</c:v>
                </c:pt>
                <c:pt idx="1">
                  <c:v>HSC (483)</c:v>
                </c:pt>
                <c:pt idx="2">
                  <c:v>GRL (570)</c:v>
                </c:pt>
                <c:pt idx="3">
                  <c:v>FRE (704)</c:v>
                </c:pt>
                <c:pt idx="4">
                  <c:v>OLS (738)</c:v>
                </c:pt>
                <c:pt idx="5">
                  <c:v>RHS (817)</c:v>
                </c:pt>
                <c:pt idx="6">
                  <c:v>BRC (886)</c:v>
                </c:pt>
                <c:pt idx="7">
                  <c:v>SGH (914)</c:v>
                </c:pt>
                <c:pt idx="8">
                  <c:v>LGI (919)</c:v>
                </c:pt>
                <c:pt idx="9">
                  <c:v>NHB (1117)</c:v>
                </c:pt>
                <c:pt idx="10">
                  <c:v>GUY (1165)</c:v>
                </c:pt>
                <c:pt idx="11">
                  <c:v>ACH (1195)</c:v>
                </c:pt>
                <c:pt idx="12">
                  <c:v>BCH (1467)</c:v>
                </c:pt>
                <c:pt idx="13">
                  <c:v>GOS (1828)</c:v>
                </c:pt>
              </c:strCache>
            </c:strRef>
          </c:cat>
          <c:val>
            <c:numRef>
              <c:f>Data!$D$22:$D$35</c:f>
              <c:numCache>
                <c:formatCode>0.000</c:formatCode>
                <c:ptCount val="14"/>
                <c:pt idx="0">
                  <c:v>0.0131412952060556</c:v>
                </c:pt>
                <c:pt idx="1">
                  <c:v>0.0106501716807675</c:v>
                </c:pt>
                <c:pt idx="2">
                  <c:v>0.00900608811556613</c:v>
                </c:pt>
                <c:pt idx="3">
                  <c:v>0.00731439003838585</c:v>
                </c:pt>
                <c:pt idx="4">
                  <c:v>0.00831296656524849</c:v>
                </c:pt>
                <c:pt idx="5">
                  <c:v>0.00627044163974555</c:v>
                </c:pt>
                <c:pt idx="6">
                  <c:v>0.00690316924500034</c:v>
                </c:pt>
                <c:pt idx="7">
                  <c:v>0.0067190905039094</c:v>
                </c:pt>
                <c:pt idx="8">
                  <c:v>0.00667570111550963</c:v>
                </c:pt>
                <c:pt idx="9">
                  <c:v>0.00548115396561499</c:v>
                </c:pt>
                <c:pt idx="10">
                  <c:v>0.00618167046397855</c:v>
                </c:pt>
                <c:pt idx="11">
                  <c:v>0.00602028837181301</c:v>
                </c:pt>
                <c:pt idx="12">
                  <c:v>0.00635089992251902</c:v>
                </c:pt>
                <c:pt idx="13">
                  <c:v>0.00447481351214696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Data!$I$22:$I$35</c:f>
              <c:strCache>
                <c:ptCount val="14"/>
                <c:pt idx="0">
                  <c:v>RVB (232)</c:v>
                </c:pt>
                <c:pt idx="1">
                  <c:v>HSC (483)</c:v>
                </c:pt>
                <c:pt idx="2">
                  <c:v>GRL (570)</c:v>
                </c:pt>
                <c:pt idx="3">
                  <c:v>FRE (704)</c:v>
                </c:pt>
                <c:pt idx="4">
                  <c:v>OLS (738)</c:v>
                </c:pt>
                <c:pt idx="5">
                  <c:v>RHS (817)</c:v>
                </c:pt>
                <c:pt idx="6">
                  <c:v>BRC (886)</c:v>
                </c:pt>
                <c:pt idx="7">
                  <c:v>SGH (914)</c:v>
                </c:pt>
                <c:pt idx="8">
                  <c:v>LGI (919)</c:v>
                </c:pt>
                <c:pt idx="9">
                  <c:v>NHB (1117)</c:v>
                </c:pt>
                <c:pt idx="10">
                  <c:v>GUY (1165)</c:v>
                </c:pt>
                <c:pt idx="11">
                  <c:v>ACH (1195)</c:v>
                </c:pt>
                <c:pt idx="12">
                  <c:v>BCH (1467)</c:v>
                </c:pt>
                <c:pt idx="13">
                  <c:v>GOS (1828)</c:v>
                </c:pt>
              </c:strCache>
            </c:strRef>
          </c:cat>
          <c:val>
            <c:numRef>
              <c:f>Data!$E$22:$E$35</c:f>
              <c:numCache>
                <c:formatCode>0.000</c:formatCode>
                <c:ptCount val="14"/>
                <c:pt idx="0">
                  <c:v>0.0306630221474629</c:v>
                </c:pt>
                <c:pt idx="1">
                  <c:v>0.0298204807061491</c:v>
                </c:pt>
                <c:pt idx="2">
                  <c:v>0.0270182643466984</c:v>
                </c:pt>
                <c:pt idx="3">
                  <c:v>0.0263318041381892</c:v>
                </c:pt>
                <c:pt idx="4">
                  <c:v>0.0207824164131211</c:v>
                </c:pt>
                <c:pt idx="5">
                  <c:v>0.021319501575135</c:v>
                </c:pt>
                <c:pt idx="6">
                  <c:v>0.0184084513200011</c:v>
                </c:pt>
                <c:pt idx="7">
                  <c:v>0.0190374230944098</c:v>
                </c:pt>
                <c:pt idx="8">
                  <c:v>0.0189144864939441</c:v>
                </c:pt>
                <c:pt idx="9">
                  <c:v>0.0164434618968446</c:v>
                </c:pt>
                <c:pt idx="10">
                  <c:v>0.0194281071725039</c:v>
                </c:pt>
                <c:pt idx="11">
                  <c:v>0.0189209063114124</c:v>
                </c:pt>
                <c:pt idx="12">
                  <c:v>0.0190526997675571</c:v>
                </c:pt>
                <c:pt idx="13">
                  <c:v>0.013983792225459</c:v>
                </c:pt>
              </c:numCache>
            </c:numRef>
          </c:val>
        </c:ser>
        <c:ser>
          <c:idx val="3"/>
          <c:order val="3"/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Data!$I$22:$I$35</c:f>
              <c:strCache>
                <c:ptCount val="14"/>
                <c:pt idx="0">
                  <c:v>RVB (232)</c:v>
                </c:pt>
                <c:pt idx="1">
                  <c:v>HSC (483)</c:v>
                </c:pt>
                <c:pt idx="2">
                  <c:v>GRL (570)</c:v>
                </c:pt>
                <c:pt idx="3">
                  <c:v>FRE (704)</c:v>
                </c:pt>
                <c:pt idx="4">
                  <c:v>OLS (738)</c:v>
                </c:pt>
                <c:pt idx="5">
                  <c:v>RHS (817)</c:v>
                </c:pt>
                <c:pt idx="6">
                  <c:v>BRC (886)</c:v>
                </c:pt>
                <c:pt idx="7">
                  <c:v>SGH (914)</c:v>
                </c:pt>
                <c:pt idx="8">
                  <c:v>LGI (919)</c:v>
                </c:pt>
                <c:pt idx="9">
                  <c:v>NHB (1117)</c:v>
                </c:pt>
                <c:pt idx="10">
                  <c:v>GUY (1165)</c:v>
                </c:pt>
                <c:pt idx="11">
                  <c:v>ACH (1195)</c:v>
                </c:pt>
                <c:pt idx="12">
                  <c:v>BCH (1467)</c:v>
                </c:pt>
                <c:pt idx="13">
                  <c:v>GOS (1828)</c:v>
                </c:pt>
              </c:strCache>
            </c:strRef>
          </c:cat>
          <c:val>
            <c:numRef>
              <c:f>Data!$F$22:$F$35</c:f>
              <c:numCache>
                <c:formatCode>0.000</c:formatCode>
                <c:ptCount val="14"/>
                <c:pt idx="0">
                  <c:v>0.00438043173535174</c:v>
                </c:pt>
                <c:pt idx="1">
                  <c:v>0.00639010300846032</c:v>
                </c:pt>
                <c:pt idx="2">
                  <c:v>0.00540365286933952</c:v>
                </c:pt>
                <c:pt idx="3">
                  <c:v>0.00585151203070877</c:v>
                </c:pt>
                <c:pt idx="4">
                  <c:v>0.00554197771016573</c:v>
                </c:pt>
                <c:pt idx="5">
                  <c:v>0.00501635331179639</c:v>
                </c:pt>
                <c:pt idx="6">
                  <c:v>0.00345158462250006</c:v>
                </c:pt>
                <c:pt idx="7">
                  <c:v>0.00447939366927308</c:v>
                </c:pt>
                <c:pt idx="8">
                  <c:v>0.00445046741033961</c:v>
                </c:pt>
                <c:pt idx="9">
                  <c:v>0.00456762830467916</c:v>
                </c:pt>
                <c:pt idx="10">
                  <c:v>0.00441547890284188</c:v>
                </c:pt>
                <c:pt idx="11">
                  <c:v>0.00516024717583963</c:v>
                </c:pt>
                <c:pt idx="12">
                  <c:v>0.00493958882862588</c:v>
                </c:pt>
                <c:pt idx="13">
                  <c:v>0.00335611013411019</c:v>
                </c:pt>
              </c:numCache>
            </c:numRef>
          </c:val>
        </c:ser>
        <c:ser>
          <c:idx val="4"/>
          <c:order val="4"/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Data!$I$22:$I$35</c:f>
              <c:strCache>
                <c:ptCount val="14"/>
                <c:pt idx="0">
                  <c:v>RVB (232)</c:v>
                </c:pt>
                <c:pt idx="1">
                  <c:v>HSC (483)</c:v>
                </c:pt>
                <c:pt idx="2">
                  <c:v>GRL (570)</c:v>
                </c:pt>
                <c:pt idx="3">
                  <c:v>FRE (704)</c:v>
                </c:pt>
                <c:pt idx="4">
                  <c:v>OLS (738)</c:v>
                </c:pt>
                <c:pt idx="5">
                  <c:v>RHS (817)</c:v>
                </c:pt>
                <c:pt idx="6">
                  <c:v>BRC (886)</c:v>
                </c:pt>
                <c:pt idx="7">
                  <c:v>SGH (914)</c:v>
                </c:pt>
                <c:pt idx="8">
                  <c:v>LGI (919)</c:v>
                </c:pt>
                <c:pt idx="9">
                  <c:v>NHB (1117)</c:v>
                </c:pt>
                <c:pt idx="10">
                  <c:v>GUY (1165)</c:v>
                </c:pt>
                <c:pt idx="11">
                  <c:v>ACH (1195)</c:v>
                </c:pt>
                <c:pt idx="12">
                  <c:v>BCH (1467)</c:v>
                </c:pt>
                <c:pt idx="13">
                  <c:v>GOS (1828)</c:v>
                </c:pt>
              </c:strCache>
            </c:strRef>
          </c:cat>
          <c:val>
            <c:numRef>
              <c:f>Data!$G$22:$G$35</c:f>
              <c:numCache>
                <c:formatCode>0.000</c:formatCode>
                <c:ptCount val="14"/>
                <c:pt idx="0">
                  <c:v>0.0137398373983741</c:v>
                </c:pt>
                <c:pt idx="1">
                  <c:v>0.00971355298247411</c:v>
                </c:pt>
                <c:pt idx="2">
                  <c:v>0.0123120429410284</c:v>
                </c:pt>
                <c:pt idx="3">
                  <c:v>0.0118369066566801</c:v>
                </c:pt>
                <c:pt idx="4">
                  <c:v>0.0144325846121447</c:v>
                </c:pt>
                <c:pt idx="5">
                  <c:v>0.0154425426891667</c:v>
                </c:pt>
                <c:pt idx="6">
                  <c:v>0.0175351773999444</c:v>
                </c:pt>
                <c:pt idx="7">
                  <c:v>0.0165371823270002</c:v>
                </c:pt>
                <c:pt idx="8">
                  <c:v>0.0164060472951173</c:v>
                </c:pt>
                <c:pt idx="9">
                  <c:v>0.0178135676831161</c:v>
                </c:pt>
                <c:pt idx="10">
                  <c:v>0.0162060439075222</c:v>
                </c:pt>
                <c:pt idx="11">
                  <c:v>0.0160114299474945</c:v>
                </c:pt>
                <c:pt idx="12">
                  <c:v>0.0159729790377963</c:v>
                </c:pt>
                <c:pt idx="13">
                  <c:v>0.0198108496328415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2935576"/>
        <c:axId val="2103681064"/>
      </c:barChart>
      <c:scatterChart>
        <c:scatterStyle val="lineMarker"/>
        <c:varyColors val="0"/>
        <c:ser>
          <c:idx val="5"/>
          <c:order val="5"/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xVal>
            <c:strRef>
              <c:f>Data!$I$22:$I$35</c:f>
              <c:strCache>
                <c:ptCount val="14"/>
                <c:pt idx="0">
                  <c:v>RVB (232)</c:v>
                </c:pt>
                <c:pt idx="1">
                  <c:v>HSC (483)</c:v>
                </c:pt>
                <c:pt idx="2">
                  <c:v>GRL (570)</c:v>
                </c:pt>
                <c:pt idx="3">
                  <c:v>FRE (704)</c:v>
                </c:pt>
                <c:pt idx="4">
                  <c:v>OLS (738)</c:v>
                </c:pt>
                <c:pt idx="5">
                  <c:v>RHS (817)</c:v>
                </c:pt>
                <c:pt idx="6">
                  <c:v>BRC (886)</c:v>
                </c:pt>
                <c:pt idx="7">
                  <c:v>SGH (914)</c:v>
                </c:pt>
                <c:pt idx="8">
                  <c:v>LGI (919)</c:v>
                </c:pt>
                <c:pt idx="9">
                  <c:v>NHB (1117)</c:v>
                </c:pt>
                <c:pt idx="10">
                  <c:v>GUY (1165)</c:v>
                </c:pt>
                <c:pt idx="11">
                  <c:v>ACH (1195)</c:v>
                </c:pt>
                <c:pt idx="12">
                  <c:v>BCH (1467)</c:v>
                </c:pt>
                <c:pt idx="13">
                  <c:v>GOS (1828)</c:v>
                </c:pt>
              </c:strCache>
            </c:strRef>
          </c:xVal>
          <c:yVal>
            <c:numRef>
              <c:f>Data!$H$22:$H$35</c:f>
              <c:numCache>
                <c:formatCode>0.000</c:formatCode>
                <c:ptCount val="14"/>
                <c:pt idx="0">
                  <c:v>0.998738435660219</c:v>
                </c:pt>
                <c:pt idx="1">
                  <c:v>1.007506241000605</c:v>
                </c:pt>
                <c:pt idx="2">
                  <c:v>1.005079433697179</c:v>
                </c:pt>
                <c:pt idx="3">
                  <c:v>1.006460069281903</c:v>
                </c:pt>
                <c:pt idx="4">
                  <c:v>0.992014010119651</c:v>
                </c:pt>
                <c:pt idx="5">
                  <c:v>0.991983867407749</c:v>
                </c:pt>
                <c:pt idx="6">
                  <c:v>0.995206899487555</c:v>
                </c:pt>
                <c:pt idx="7">
                  <c:v>1.007863575586409</c:v>
                </c:pt>
                <c:pt idx="8">
                  <c:v>0.986891148242844</c:v>
                </c:pt>
                <c:pt idx="9">
                  <c:v>1.003964701368461</c:v>
                </c:pt>
                <c:pt idx="10">
                  <c:v>0.991716561578269</c:v>
                </c:pt>
                <c:pt idx="11">
                  <c:v>0.99420762254512</c:v>
                </c:pt>
                <c:pt idx="12">
                  <c:v>1.004147843304952</c:v>
                </c:pt>
                <c:pt idx="13">
                  <c:v>1.004036281787956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912216"/>
        <c:axId val="-2145960632"/>
      </c:scatterChart>
      <c:catAx>
        <c:axId val="2112935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03681064"/>
        <c:crosses val="autoZero"/>
        <c:auto val="1"/>
        <c:lblAlgn val="ctr"/>
        <c:lblOffset val="100"/>
        <c:noMultiLvlLbl val="0"/>
      </c:catAx>
      <c:valAx>
        <c:axId val="2103681064"/>
        <c:scaling>
          <c:orientation val="minMax"/>
          <c:max val="1.03"/>
          <c:min val="0.97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Survival ratio (actual/predicted)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2935576"/>
        <c:crosses val="autoZero"/>
        <c:crossBetween val="between"/>
      </c:valAx>
      <c:valAx>
        <c:axId val="-2145960632"/>
        <c:scaling>
          <c:orientation val="minMax"/>
          <c:max val="1.03"/>
          <c:min val="0.97"/>
        </c:scaling>
        <c:delete val="0"/>
        <c:axPos val="r"/>
        <c:numFmt formatCode="0.000" sourceLinked="1"/>
        <c:majorTickMark val="none"/>
        <c:minorTickMark val="none"/>
        <c:tickLblPos val="none"/>
        <c:spPr>
          <a:ln>
            <a:noFill/>
          </a:ln>
        </c:spPr>
        <c:crossAx val="-2145912216"/>
        <c:crosses val="max"/>
        <c:crossBetween val="midCat"/>
      </c:valAx>
      <c:valAx>
        <c:axId val="-21459122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59606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0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63500</xdr:colOff>
      <xdr:row>20</xdr:row>
      <xdr:rowOff>105833</xdr:rowOff>
    </xdr:from>
    <xdr:ext cx="4762500" cy="1595052"/>
    <xdr:sp macro="" textlink="">
      <xdr:nvSpPr>
        <xdr:cNvPr id="3" name="TextBox 2"/>
        <xdr:cNvSpPr txBox="1"/>
      </xdr:nvSpPr>
      <xdr:spPr>
        <a:xfrm>
          <a:off x="7694083" y="3947583"/>
          <a:ext cx="4762500" cy="1595052"/>
        </a:xfrm>
        <a:prstGeom prst="rect">
          <a:avLst/>
        </a:prstGeom>
        <a:solidFill>
          <a:srgbClr val="7030A0"/>
        </a:solidFill>
        <a:ln w="28575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="1">
              <a:solidFill>
                <a:schemeClr val="bg1"/>
              </a:solidFill>
            </a:rPr>
            <a:t>To experiment with different graphical outputs change values in the yellow cells! </a:t>
          </a:r>
        </a:p>
        <a:p>
          <a:endParaRPr lang="en-GB" sz="1600" b="1">
            <a:solidFill>
              <a:schemeClr val="bg1"/>
            </a:solidFill>
          </a:endParaRPr>
        </a:p>
        <a:p>
          <a:r>
            <a:rPr lang="en-GB" sz="1600" b="1">
              <a:solidFill>
                <a:schemeClr val="bg1"/>
              </a:solidFill>
            </a:rPr>
            <a:t>The grey cells (and</a:t>
          </a:r>
          <a:r>
            <a:rPr lang="en-GB" sz="1600" b="1" baseline="0">
              <a:solidFill>
                <a:schemeClr val="bg1"/>
              </a:solidFill>
            </a:rPr>
            <a:t> the chart) will update automatically. They are all formulae so overwriting the grey cells will stop them working!</a:t>
          </a:r>
          <a:endParaRPr lang="en-GB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14</xdr:col>
      <xdr:colOff>1</xdr:colOff>
      <xdr:row>33</xdr:row>
      <xdr:rowOff>141113</xdr:rowOff>
    </xdr:from>
    <xdr:to>
      <xdr:col>29</xdr:col>
      <xdr:colOff>507999</xdr:colOff>
      <xdr:row>65</xdr:row>
      <xdr:rowOff>70557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423334</xdr:colOff>
      <xdr:row>36</xdr:row>
      <xdr:rowOff>155221</xdr:rowOff>
    </xdr:from>
    <xdr:to>
      <xdr:col>20</xdr:col>
      <xdr:colOff>550333</xdr:colOff>
      <xdr:row>38</xdr:row>
      <xdr:rowOff>395109</xdr:rowOff>
    </xdr:to>
    <xdr:sp macro="" textlink="">
      <xdr:nvSpPr>
        <xdr:cNvPr id="4" name="Right Arrow 3"/>
        <xdr:cNvSpPr/>
      </xdr:nvSpPr>
      <xdr:spPr>
        <a:xfrm>
          <a:off x="16580556" y="6519332"/>
          <a:ext cx="2836333" cy="550333"/>
        </a:xfrm>
        <a:prstGeom prst="rightArrow">
          <a:avLst/>
        </a:prstGeom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ctr"/>
          <a:r>
            <a:rPr lang="en-US" sz="1600"/>
            <a:t>Better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536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11</xdr:row>
      <xdr:rowOff>63500</xdr:rowOff>
    </xdr:from>
    <xdr:to>
      <xdr:col>18</xdr:col>
      <xdr:colOff>520956</xdr:colOff>
      <xdr:row>38</xdr:row>
      <xdr:rowOff>25400</xdr:rowOff>
    </xdr:to>
    <xdr:pic>
      <xdr:nvPicPr>
        <xdr:cNvPr id="2" name="Picture 1" descr="horizontal-chart.pd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1739900"/>
          <a:ext cx="11430256" cy="737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B2:P53"/>
  <sheetViews>
    <sheetView topLeftCell="L42" zoomScale="90" zoomScaleNormal="90" zoomScalePageLayoutView="90" workbookViewId="0">
      <selection activeCell="AJ69" sqref="AJ69"/>
    </sheetView>
  </sheetViews>
  <sheetFormatPr baseColWidth="10" defaultColWidth="8.83203125" defaultRowHeight="12" x14ac:dyDescent="0"/>
  <cols>
    <col min="2" max="2" width="51.6640625" customWidth="1"/>
    <col min="3" max="3" width="12.33203125" customWidth="1"/>
    <col min="4" max="5" width="11" customWidth="1"/>
    <col min="6" max="6" width="12.6640625" customWidth="1"/>
    <col min="7" max="7" width="13.5" customWidth="1"/>
    <col min="8" max="8" width="12.33203125" customWidth="1"/>
    <col min="9" max="9" width="11.5" customWidth="1"/>
    <col min="10" max="11" width="7.6640625" customWidth="1"/>
    <col min="12" max="12" width="13.83203125" customWidth="1"/>
    <col min="13" max="13" width="11.5" customWidth="1"/>
    <col min="15" max="16" width="8.83203125" customWidth="1"/>
  </cols>
  <sheetData>
    <row r="2" spans="2:16" ht="26.25" customHeight="1">
      <c r="B2" s="6"/>
      <c r="C2" s="23" t="s">
        <v>19</v>
      </c>
      <c r="D2" s="23"/>
      <c r="E2" s="23"/>
      <c r="F2" s="22" t="s">
        <v>20</v>
      </c>
      <c r="G2" s="22"/>
      <c r="H2" s="21" t="s">
        <v>31</v>
      </c>
      <c r="I2" s="21"/>
      <c r="J2" s="21"/>
      <c r="K2" s="21"/>
      <c r="L2" s="8"/>
      <c r="M2" s="21" t="s">
        <v>36</v>
      </c>
      <c r="N2" s="21"/>
      <c r="O2" s="21"/>
      <c r="P2" s="21"/>
    </row>
    <row r="3" spans="2:16" s="1" customFormat="1" ht="48">
      <c r="B3" s="7" t="s">
        <v>0</v>
      </c>
      <c r="C3" s="7" t="s">
        <v>1</v>
      </c>
      <c r="D3" s="7" t="s">
        <v>18</v>
      </c>
      <c r="E3" s="9" t="s">
        <v>17</v>
      </c>
      <c r="F3" s="7" t="s">
        <v>2</v>
      </c>
      <c r="G3" s="9" t="s">
        <v>21</v>
      </c>
      <c r="H3" s="9" t="s">
        <v>22</v>
      </c>
      <c r="I3" s="9" t="s">
        <v>23</v>
      </c>
      <c r="J3" s="9" t="s">
        <v>24</v>
      </c>
      <c r="K3" s="9" t="s">
        <v>25</v>
      </c>
      <c r="L3" s="9" t="s">
        <v>26</v>
      </c>
      <c r="M3" s="9" t="s">
        <v>27</v>
      </c>
      <c r="N3" s="9" t="s">
        <v>28</v>
      </c>
      <c r="O3" s="9" t="s">
        <v>29</v>
      </c>
      <c r="P3" s="9" t="s">
        <v>30</v>
      </c>
    </row>
    <row r="4" spans="2:16">
      <c r="B4" s="10" t="s">
        <v>3</v>
      </c>
      <c r="C4" s="16">
        <v>232</v>
      </c>
      <c r="D4" s="10">
        <v>4</v>
      </c>
      <c r="E4" s="12">
        <f>1-D4/C4</f>
        <v>0.98275862068965514</v>
      </c>
      <c r="F4" s="11">
        <v>3.7119999999999775</v>
      </c>
      <c r="G4" s="12">
        <f t="shared" ref="G4:G17" si="0">1-F4/C4</f>
        <v>0.9840000000000001</v>
      </c>
      <c r="H4" s="12">
        <f t="shared" ref="H4:H17" si="1">(_xlfn.BINOM.INV(C4,G4,1-0.999))/C4</f>
        <v>0.95258620689655171</v>
      </c>
      <c r="I4" s="12">
        <f t="shared" ref="I4:I17" si="2">(_xlfn.BINOM.INV(C4,G4,1-0.975))/C4</f>
        <v>0.96551724137931039</v>
      </c>
      <c r="J4" s="13">
        <f t="shared" ref="J4:J17" si="3">(_xlfn.BINOM.INV(C4,G4,0.975))/C4</f>
        <v>0.99568965517241381</v>
      </c>
      <c r="K4" s="13">
        <f t="shared" ref="K4:K17" si="4">(_xlfn.BINOM.INV(C4,G4,0.999))/C4</f>
        <v>1</v>
      </c>
      <c r="L4" s="5">
        <f>E4/G4</f>
        <v>0.99873843566021858</v>
      </c>
      <c r="M4" s="5">
        <f>H4/G4</f>
        <v>0.96807541351275572</v>
      </c>
      <c r="N4" s="5">
        <f>I4/G4</f>
        <v>0.98121670871881128</v>
      </c>
      <c r="O4" s="5">
        <f>J4/G4</f>
        <v>1.0118797308662741</v>
      </c>
      <c r="P4" s="5">
        <f>K4/G4</f>
        <v>1.0162601626016259</v>
      </c>
    </row>
    <row r="5" spans="2:16">
      <c r="B5" s="10" t="s">
        <v>4</v>
      </c>
      <c r="C5" s="10">
        <v>483</v>
      </c>
      <c r="D5" s="10">
        <v>10</v>
      </c>
      <c r="E5" s="12">
        <f t="shared" ref="E5:E17" si="5">1-D5/C5</f>
        <v>0.97929606625258803</v>
      </c>
      <c r="F5" s="11">
        <v>13.524000000000012</v>
      </c>
      <c r="G5" s="12">
        <f t="shared" si="0"/>
        <v>0.97199999999999998</v>
      </c>
      <c r="H5" s="12">
        <f t="shared" si="1"/>
        <v>0.94616977225672882</v>
      </c>
      <c r="I5" s="12">
        <f t="shared" si="2"/>
        <v>0.95652173913043481</v>
      </c>
      <c r="J5" s="13">
        <f t="shared" si="3"/>
        <v>0.98550724637681164</v>
      </c>
      <c r="K5" s="13">
        <f t="shared" si="4"/>
        <v>0.99171842650103514</v>
      </c>
      <c r="L5" s="5">
        <f t="shared" ref="L5:L17" si="6">E5/G5</f>
        <v>1.007506241000605</v>
      </c>
      <c r="M5" s="5">
        <f t="shared" ref="M5:M17" si="7">H5/G5</f>
        <v>0.97342569162214898</v>
      </c>
      <c r="N5" s="5">
        <f t="shared" ref="N5:N17" si="8">I5/G5</f>
        <v>0.98407586330291652</v>
      </c>
      <c r="O5" s="5">
        <f t="shared" ref="O5:O17" si="9">J5/G5</f>
        <v>1.0138963440090656</v>
      </c>
      <c r="P5" s="5">
        <f t="shared" ref="P5:P17" si="10">K5/G5</f>
        <v>1.0202864470175259</v>
      </c>
    </row>
    <row r="6" spans="2:16">
      <c r="B6" s="10" t="s">
        <v>5</v>
      </c>
      <c r="C6" s="10">
        <v>570</v>
      </c>
      <c r="D6" s="10">
        <v>12</v>
      </c>
      <c r="E6" s="12">
        <f t="shared" si="5"/>
        <v>0.97894736842105268</v>
      </c>
      <c r="F6" s="11">
        <v>14.819999999999951</v>
      </c>
      <c r="G6" s="12">
        <f t="shared" si="0"/>
        <v>0.97400000000000009</v>
      </c>
      <c r="H6" s="12">
        <f t="shared" si="1"/>
        <v>0.9508771929824561</v>
      </c>
      <c r="I6" s="12">
        <f t="shared" si="2"/>
        <v>0.95964912280701753</v>
      </c>
      <c r="J6" s="13">
        <f t="shared" si="3"/>
        <v>0.98596491228070171</v>
      </c>
      <c r="K6" s="13">
        <f t="shared" si="4"/>
        <v>0.99122807017543857</v>
      </c>
      <c r="L6" s="5">
        <f t="shared" si="6"/>
        <v>1.0050794336971793</v>
      </c>
      <c r="M6" s="5">
        <f t="shared" si="7"/>
        <v>0.97625995172736757</v>
      </c>
      <c r="N6" s="5">
        <f t="shared" si="8"/>
        <v>0.98526603984293371</v>
      </c>
      <c r="O6" s="5">
        <f t="shared" si="9"/>
        <v>1.0122843041896321</v>
      </c>
      <c r="P6" s="5">
        <f t="shared" si="10"/>
        <v>1.0176879570589716</v>
      </c>
    </row>
    <row r="7" spans="2:16">
      <c r="B7" s="10" t="s">
        <v>6</v>
      </c>
      <c r="C7" s="10">
        <v>704</v>
      </c>
      <c r="D7" s="10">
        <v>16</v>
      </c>
      <c r="E7" s="12">
        <f t="shared" si="5"/>
        <v>0.97727272727272729</v>
      </c>
      <c r="F7" s="11">
        <v>20.416000000000018</v>
      </c>
      <c r="G7" s="12">
        <f t="shared" si="0"/>
        <v>0.97099999999999997</v>
      </c>
      <c r="H7" s="12">
        <f t="shared" si="1"/>
        <v>0.95028409090909094</v>
      </c>
      <c r="I7" s="12">
        <f t="shared" si="2"/>
        <v>0.95738636363636365</v>
      </c>
      <c r="J7" s="13">
        <f t="shared" si="3"/>
        <v>0.98295454545454541</v>
      </c>
      <c r="K7" s="13">
        <f t="shared" si="4"/>
        <v>0.98863636363636365</v>
      </c>
      <c r="L7" s="5">
        <f t="shared" si="6"/>
        <v>1.0064600692819026</v>
      </c>
      <c r="M7" s="5">
        <f t="shared" si="7"/>
        <v>0.97866538713603601</v>
      </c>
      <c r="N7" s="5">
        <f t="shared" si="8"/>
        <v>0.98597977717442187</v>
      </c>
      <c r="O7" s="5">
        <f t="shared" si="9"/>
        <v>1.0123115813126111</v>
      </c>
      <c r="P7" s="5">
        <f t="shared" si="10"/>
        <v>1.0181630933433199</v>
      </c>
    </row>
    <row r="8" spans="2:16">
      <c r="B8" s="10" t="s">
        <v>7</v>
      </c>
      <c r="C8" s="10">
        <v>738</v>
      </c>
      <c r="D8" s="10">
        <v>22</v>
      </c>
      <c r="E8" s="12">
        <f t="shared" si="5"/>
        <v>0.97018970189701892</v>
      </c>
      <c r="F8" s="11">
        <v>16.236000000000015</v>
      </c>
      <c r="G8" s="12">
        <f t="shared" si="0"/>
        <v>0.97799999999999998</v>
      </c>
      <c r="H8" s="12">
        <f t="shared" si="1"/>
        <v>0.95934959349593496</v>
      </c>
      <c r="I8" s="12">
        <f t="shared" si="2"/>
        <v>0.96747967479674801</v>
      </c>
      <c r="J8" s="13">
        <f t="shared" si="3"/>
        <v>0.98780487804878048</v>
      </c>
      <c r="K8" s="13">
        <f t="shared" si="4"/>
        <v>0.99322493224932251</v>
      </c>
      <c r="L8" s="5">
        <f t="shared" si="6"/>
        <v>0.99201401011965129</v>
      </c>
      <c r="M8" s="5">
        <f t="shared" si="7"/>
        <v>0.98093005469932004</v>
      </c>
      <c r="N8" s="5">
        <f t="shared" si="8"/>
        <v>0.98924302126456853</v>
      </c>
      <c r="O8" s="5">
        <f t="shared" si="9"/>
        <v>1.0100254376776896</v>
      </c>
      <c r="P8" s="5">
        <f t="shared" si="10"/>
        <v>1.0155674153878553</v>
      </c>
    </row>
    <row r="9" spans="2:16">
      <c r="B9" s="10" t="s">
        <v>8</v>
      </c>
      <c r="C9" s="10">
        <v>817</v>
      </c>
      <c r="D9" s="10">
        <v>26</v>
      </c>
      <c r="E9" s="12">
        <f t="shared" si="5"/>
        <v>0.96817625458996326</v>
      </c>
      <c r="F9" s="11">
        <v>19.608000000000018</v>
      </c>
      <c r="G9" s="12">
        <f t="shared" si="0"/>
        <v>0.97599999999999998</v>
      </c>
      <c r="H9" s="12">
        <f t="shared" si="1"/>
        <v>0.95838433292533665</v>
      </c>
      <c r="I9" s="12">
        <f t="shared" si="2"/>
        <v>0.96450428396572829</v>
      </c>
      <c r="J9" s="13">
        <f t="shared" si="3"/>
        <v>0.98531211750306003</v>
      </c>
      <c r="K9" s="13">
        <f t="shared" si="4"/>
        <v>0.99020807833537328</v>
      </c>
      <c r="L9" s="5">
        <f t="shared" si="6"/>
        <v>0.99198386740774924</v>
      </c>
      <c r="M9" s="5">
        <f t="shared" si="7"/>
        <v>0.98195116078415645</v>
      </c>
      <c r="N9" s="5">
        <f t="shared" si="8"/>
        <v>0.988221602423902</v>
      </c>
      <c r="O9" s="5">
        <f t="shared" si="9"/>
        <v>1.009541103999037</v>
      </c>
      <c r="P9" s="5">
        <f t="shared" si="10"/>
        <v>1.0145574573108334</v>
      </c>
    </row>
    <row r="10" spans="2:16">
      <c r="B10" s="10" t="s">
        <v>9</v>
      </c>
      <c r="C10" s="10">
        <v>886</v>
      </c>
      <c r="D10" s="10">
        <v>21</v>
      </c>
      <c r="E10" s="12">
        <f t="shared" si="5"/>
        <v>0.97629796839729122</v>
      </c>
      <c r="F10" s="11">
        <v>16.834000000000014</v>
      </c>
      <c r="G10" s="12">
        <f t="shared" si="0"/>
        <v>0.98099999999999998</v>
      </c>
      <c r="H10" s="12">
        <f t="shared" si="1"/>
        <v>0.96501128668171554</v>
      </c>
      <c r="I10" s="12">
        <f t="shared" si="2"/>
        <v>0.97178329571106092</v>
      </c>
      <c r="J10" s="13">
        <f t="shared" si="3"/>
        <v>0.98984198645598198</v>
      </c>
      <c r="K10" s="13">
        <f t="shared" si="4"/>
        <v>0.99322799097065462</v>
      </c>
      <c r="L10" s="5">
        <f t="shared" si="6"/>
        <v>0.99520689948755481</v>
      </c>
      <c r="M10" s="5">
        <f t="shared" si="7"/>
        <v>0.98370161741255413</v>
      </c>
      <c r="N10" s="5">
        <f t="shared" si="8"/>
        <v>0.99060478665755447</v>
      </c>
      <c r="O10" s="5">
        <f t="shared" si="9"/>
        <v>1.0090132379775556</v>
      </c>
      <c r="P10" s="5">
        <f t="shared" si="10"/>
        <v>1.0124648226000557</v>
      </c>
    </row>
    <row r="11" spans="2:16">
      <c r="B11" s="10" t="s">
        <v>10</v>
      </c>
      <c r="C11" s="10">
        <v>914</v>
      </c>
      <c r="D11" s="10">
        <v>14</v>
      </c>
      <c r="E11" s="12">
        <f t="shared" si="5"/>
        <v>0.98468271334792123</v>
      </c>
      <c r="F11" s="11">
        <v>21.02200000000002</v>
      </c>
      <c r="G11" s="12">
        <f t="shared" si="0"/>
        <v>0.97699999999999998</v>
      </c>
      <c r="H11" s="12">
        <f t="shared" si="1"/>
        <v>0.96061269146608319</v>
      </c>
      <c r="I11" s="12">
        <f t="shared" si="2"/>
        <v>0.96717724288840268</v>
      </c>
      <c r="J11" s="13">
        <f t="shared" si="3"/>
        <v>0.98577680525164113</v>
      </c>
      <c r="K11" s="13">
        <f t="shared" si="4"/>
        <v>0.99015317286652083</v>
      </c>
      <c r="L11" s="5">
        <f t="shared" si="6"/>
        <v>1.0078635755864087</v>
      </c>
      <c r="M11" s="5">
        <f t="shared" si="7"/>
        <v>0.98322691040540755</v>
      </c>
      <c r="N11" s="5">
        <f t="shared" si="8"/>
        <v>0.98994600090931695</v>
      </c>
      <c r="O11" s="5">
        <f t="shared" si="9"/>
        <v>1.0089834240037268</v>
      </c>
      <c r="P11" s="5">
        <f t="shared" si="10"/>
        <v>1.0134628176729998</v>
      </c>
    </row>
    <row r="12" spans="2:16">
      <c r="B12" s="10" t="s">
        <v>11</v>
      </c>
      <c r="C12" s="10">
        <v>919</v>
      </c>
      <c r="D12" s="10">
        <v>32</v>
      </c>
      <c r="E12" s="12">
        <f t="shared" si="5"/>
        <v>0.96517954298150166</v>
      </c>
      <c r="F12" s="11">
        <v>20.218000000000018</v>
      </c>
      <c r="G12" s="12">
        <f t="shared" si="0"/>
        <v>0.97799999999999998</v>
      </c>
      <c r="H12" s="12">
        <f t="shared" si="1"/>
        <v>0.9619151251360174</v>
      </c>
      <c r="I12" s="12">
        <f t="shared" si="2"/>
        <v>0.96844396082698581</v>
      </c>
      <c r="J12" s="13">
        <f t="shared" si="3"/>
        <v>0.98694232861806308</v>
      </c>
      <c r="K12" s="13">
        <f t="shared" si="4"/>
        <v>0.99129488574537539</v>
      </c>
      <c r="L12" s="5">
        <f t="shared" si="6"/>
        <v>0.9868911482428443</v>
      </c>
      <c r="M12" s="5">
        <f t="shared" si="7"/>
        <v>0.98355329768508937</v>
      </c>
      <c r="N12" s="5">
        <f t="shared" si="8"/>
        <v>0.990228998800599</v>
      </c>
      <c r="O12" s="5">
        <f t="shared" si="9"/>
        <v>1.0091434852945431</v>
      </c>
      <c r="P12" s="5">
        <f t="shared" si="10"/>
        <v>1.0135939527048827</v>
      </c>
    </row>
    <row r="13" spans="2:16">
      <c r="B13" s="10" t="s">
        <v>12</v>
      </c>
      <c r="C13" s="10">
        <v>1117</v>
      </c>
      <c r="D13" s="10">
        <v>18</v>
      </c>
      <c r="E13" s="12">
        <f t="shared" si="5"/>
        <v>0.9838854073410922</v>
      </c>
      <c r="F13" s="11">
        <v>22.340000000000021</v>
      </c>
      <c r="G13" s="12">
        <f t="shared" si="0"/>
        <v>0.98</v>
      </c>
      <c r="H13" s="12">
        <f t="shared" si="1"/>
        <v>0.9659803043867502</v>
      </c>
      <c r="I13" s="12">
        <f t="shared" si="2"/>
        <v>0.9713518352730528</v>
      </c>
      <c r="J13" s="13">
        <f t="shared" si="3"/>
        <v>0.9874664279319606</v>
      </c>
      <c r="K13" s="13">
        <f t="shared" si="4"/>
        <v>0.99194270367054616</v>
      </c>
      <c r="L13" s="5">
        <f t="shared" si="6"/>
        <v>1.0039647013684614</v>
      </c>
      <c r="M13" s="5">
        <f t="shared" si="7"/>
        <v>0.98569418814974508</v>
      </c>
      <c r="N13" s="5">
        <f t="shared" si="8"/>
        <v>0.99117534211536007</v>
      </c>
      <c r="O13" s="5">
        <f t="shared" si="9"/>
        <v>1.0076188040122047</v>
      </c>
      <c r="P13" s="5">
        <f t="shared" si="10"/>
        <v>1.0121864323168839</v>
      </c>
    </row>
    <row r="14" spans="2:16">
      <c r="B14" s="10" t="s">
        <v>13</v>
      </c>
      <c r="C14" s="10">
        <v>1165</v>
      </c>
      <c r="D14" s="10">
        <v>42</v>
      </c>
      <c r="E14" s="12">
        <f t="shared" si="5"/>
        <v>0.96394849785407721</v>
      </c>
      <c r="F14" s="11">
        <v>32.620000000000026</v>
      </c>
      <c r="G14" s="12">
        <f t="shared" si="0"/>
        <v>0.97199999999999998</v>
      </c>
      <c r="H14" s="12">
        <f t="shared" si="1"/>
        <v>0.9562231759656652</v>
      </c>
      <c r="I14" s="12">
        <f t="shared" si="2"/>
        <v>0.96223175965665231</v>
      </c>
      <c r="J14" s="13">
        <f t="shared" si="3"/>
        <v>0.98111587982832615</v>
      </c>
      <c r="K14" s="13">
        <f t="shared" si="4"/>
        <v>0.98540772532188836</v>
      </c>
      <c r="L14" s="5">
        <f t="shared" si="6"/>
        <v>0.99171656157826882</v>
      </c>
      <c r="M14" s="5">
        <f t="shared" si="7"/>
        <v>0.98376869955315349</v>
      </c>
      <c r="N14" s="5">
        <f t="shared" si="8"/>
        <v>0.98995037001713204</v>
      </c>
      <c r="O14" s="5">
        <f t="shared" si="9"/>
        <v>1.0093784771896359</v>
      </c>
      <c r="P14" s="5">
        <f t="shared" si="10"/>
        <v>1.0137939560924778</v>
      </c>
    </row>
    <row r="15" spans="2:16">
      <c r="B15" s="10" t="s">
        <v>14</v>
      </c>
      <c r="C15" s="10">
        <v>1195</v>
      </c>
      <c r="D15" s="10">
        <v>39</v>
      </c>
      <c r="E15" s="12">
        <f t="shared" si="5"/>
        <v>0.96736401673640171</v>
      </c>
      <c r="F15" s="11">
        <v>32.265000000000029</v>
      </c>
      <c r="G15" s="12">
        <f t="shared" si="0"/>
        <v>0.97299999999999998</v>
      </c>
      <c r="H15" s="12">
        <f t="shared" si="1"/>
        <v>0.95732217573221756</v>
      </c>
      <c r="I15" s="12">
        <f t="shared" si="2"/>
        <v>0.9631799163179916</v>
      </c>
      <c r="J15" s="13">
        <f t="shared" si="3"/>
        <v>0.98158995815899586</v>
      </c>
      <c r="K15" s="13">
        <f t="shared" si="4"/>
        <v>0.98661087866108788</v>
      </c>
      <c r="L15" s="5">
        <f t="shared" si="6"/>
        <v>0.99420762254511996</v>
      </c>
      <c r="M15" s="5">
        <f t="shared" si="7"/>
        <v>0.98388712819344049</v>
      </c>
      <c r="N15" s="5">
        <f t="shared" si="8"/>
        <v>0.9899074165652535</v>
      </c>
      <c r="O15" s="5">
        <f t="shared" si="9"/>
        <v>1.0088283228766659</v>
      </c>
      <c r="P15" s="5">
        <f t="shared" si="10"/>
        <v>1.0139885700525055</v>
      </c>
    </row>
    <row r="16" spans="2:16">
      <c r="B16" s="10" t="s">
        <v>15</v>
      </c>
      <c r="C16" s="10">
        <v>1467</v>
      </c>
      <c r="D16" s="10">
        <v>44</v>
      </c>
      <c r="E16" s="12">
        <f t="shared" si="5"/>
        <v>0.97000681663258348</v>
      </c>
      <c r="F16" s="11">
        <v>49.878000000000043</v>
      </c>
      <c r="G16" s="12">
        <f t="shared" si="0"/>
        <v>0.96599999999999997</v>
      </c>
      <c r="H16" s="12">
        <f t="shared" si="1"/>
        <v>0.95023858214042267</v>
      </c>
      <c r="I16" s="12">
        <f t="shared" si="2"/>
        <v>0.95637355146557601</v>
      </c>
      <c r="J16" s="13">
        <f t="shared" si="3"/>
        <v>0.97477845944103614</v>
      </c>
      <c r="K16" s="13">
        <f t="shared" si="4"/>
        <v>0.9795501022494888</v>
      </c>
      <c r="L16" s="5">
        <f t="shared" si="6"/>
        <v>1.0041478433049518</v>
      </c>
      <c r="M16" s="5">
        <f t="shared" si="7"/>
        <v>0.98368383244350177</v>
      </c>
      <c r="N16" s="5">
        <f t="shared" si="8"/>
        <v>0.9900347323660208</v>
      </c>
      <c r="O16" s="5">
        <f t="shared" si="9"/>
        <v>1.0090874321335779</v>
      </c>
      <c r="P16" s="5">
        <f t="shared" si="10"/>
        <v>1.0140270209622038</v>
      </c>
    </row>
    <row r="17" spans="2:16">
      <c r="B17" s="10" t="s">
        <v>16</v>
      </c>
      <c r="C17" s="10">
        <v>1828</v>
      </c>
      <c r="D17" s="10">
        <v>33</v>
      </c>
      <c r="E17" s="12">
        <f t="shared" si="5"/>
        <v>0.98194748358862149</v>
      </c>
      <c r="F17" s="11">
        <v>40.216000000000037</v>
      </c>
      <c r="G17" s="12">
        <f t="shared" si="0"/>
        <v>0.97799999999999998</v>
      </c>
      <c r="H17" s="12">
        <f t="shared" si="1"/>
        <v>0.96663019693654262</v>
      </c>
      <c r="I17" s="12">
        <f t="shared" si="2"/>
        <v>0.97100656455142231</v>
      </c>
      <c r="J17" s="13">
        <f t="shared" si="3"/>
        <v>0.98468271334792123</v>
      </c>
      <c r="K17" s="13">
        <f t="shared" si="4"/>
        <v>0.98796498905908092</v>
      </c>
      <c r="L17" s="5">
        <f t="shared" si="6"/>
        <v>1.0040362817879565</v>
      </c>
      <c r="M17" s="5">
        <f t="shared" si="7"/>
        <v>0.98837443449544238</v>
      </c>
      <c r="N17" s="5">
        <f t="shared" si="8"/>
        <v>0.99284924800758934</v>
      </c>
      <c r="O17" s="5">
        <f t="shared" si="9"/>
        <v>1.0068330402330483</v>
      </c>
      <c r="P17" s="5">
        <f t="shared" si="10"/>
        <v>1.0101891503671585</v>
      </c>
    </row>
    <row r="20" spans="2:16">
      <c r="C20" t="s">
        <v>32</v>
      </c>
    </row>
    <row r="21" spans="2:16" ht="24">
      <c r="B21" s="4" t="s">
        <v>0</v>
      </c>
      <c r="C21" s="3" t="s">
        <v>27</v>
      </c>
      <c r="D21" s="3" t="s">
        <v>28</v>
      </c>
      <c r="E21" s="3" t="s">
        <v>29</v>
      </c>
      <c r="F21" s="3" t="s">
        <v>30</v>
      </c>
      <c r="G21" s="3" t="s">
        <v>33</v>
      </c>
      <c r="H21" s="3" t="s">
        <v>35</v>
      </c>
      <c r="I21" s="1" t="s">
        <v>34</v>
      </c>
    </row>
    <row r="22" spans="2:16">
      <c r="B22" s="2" t="str">
        <f>B4</f>
        <v>RVB</v>
      </c>
      <c r="C22" s="5">
        <f>M4</f>
        <v>0.96807541351275572</v>
      </c>
      <c r="D22" s="5">
        <f>N4-M4</f>
        <v>1.3141295206055559E-2</v>
      </c>
      <c r="E22" s="5">
        <f>O4-N4</f>
        <v>3.0663022147462859E-2</v>
      </c>
      <c r="F22" s="5">
        <f>P4-O4</f>
        <v>4.3804317353517419E-3</v>
      </c>
      <c r="G22" s="5">
        <f>1.03-P4</f>
        <v>1.3739837398374144E-2</v>
      </c>
      <c r="H22" s="5">
        <f>L4</f>
        <v>0.99873843566021858</v>
      </c>
      <c r="I22" t="str">
        <f t="shared" ref="I22:I35" si="11">B22 &amp; " (" &amp; C4 &amp; ")"</f>
        <v>RVB (232)</v>
      </c>
    </row>
    <row r="23" spans="2:16">
      <c r="B23" s="2" t="str">
        <f t="shared" ref="B23:B35" si="12">B5</f>
        <v>HSC</v>
      </c>
      <c r="C23" s="5">
        <f t="shared" ref="C23:C35" si="13">M5</f>
        <v>0.97342569162214898</v>
      </c>
      <c r="D23" s="5">
        <f t="shared" ref="D23:D35" si="14">N5-M5</f>
        <v>1.065017168076754E-2</v>
      </c>
      <c r="E23" s="5">
        <f t="shared" ref="E23:E35" si="15">O5-N5</f>
        <v>2.9820480706149066E-2</v>
      </c>
      <c r="F23" s="5">
        <f t="shared" ref="F23:F35" si="16">P5-O5</f>
        <v>6.3901030084603239E-3</v>
      </c>
      <c r="G23" s="5">
        <f t="shared" ref="G23:G35" si="17">1.03-P5</f>
        <v>9.7135529824741162E-3</v>
      </c>
      <c r="H23" s="5">
        <f t="shared" ref="H23:H35" si="18">L5</f>
        <v>1.007506241000605</v>
      </c>
      <c r="I23" t="str">
        <f t="shared" si="11"/>
        <v>HSC (483)</v>
      </c>
    </row>
    <row r="24" spans="2:16">
      <c r="B24" s="2" t="str">
        <f t="shared" si="12"/>
        <v>GRL</v>
      </c>
      <c r="C24" s="5">
        <f t="shared" si="13"/>
        <v>0.97625995172736757</v>
      </c>
      <c r="D24" s="5">
        <f t="shared" si="14"/>
        <v>9.0060881155661354E-3</v>
      </c>
      <c r="E24" s="5">
        <f t="shared" si="15"/>
        <v>2.7018264346698406E-2</v>
      </c>
      <c r="F24" s="5">
        <f t="shared" si="16"/>
        <v>5.4036528693395258E-3</v>
      </c>
      <c r="G24" s="5">
        <f t="shared" si="17"/>
        <v>1.2312042941028389E-2</v>
      </c>
      <c r="H24" s="5">
        <f t="shared" si="18"/>
        <v>1.0050794336971793</v>
      </c>
      <c r="I24" t="str">
        <f t="shared" si="11"/>
        <v>GRL (570)</v>
      </c>
    </row>
    <row r="25" spans="2:16">
      <c r="B25" s="2" t="str">
        <f t="shared" si="12"/>
        <v>FRE</v>
      </c>
      <c r="C25" s="5">
        <f t="shared" si="13"/>
        <v>0.97866538713603601</v>
      </c>
      <c r="D25" s="5">
        <f t="shared" si="14"/>
        <v>7.314390038385854E-3</v>
      </c>
      <c r="E25" s="5">
        <f t="shared" si="15"/>
        <v>2.6331804138189252E-2</v>
      </c>
      <c r="F25" s="5">
        <f t="shared" si="16"/>
        <v>5.851512030708772E-3</v>
      </c>
      <c r="G25" s="5">
        <f t="shared" si="17"/>
        <v>1.1836906656680135E-2</v>
      </c>
      <c r="H25" s="5">
        <f t="shared" si="18"/>
        <v>1.0064600692819026</v>
      </c>
      <c r="I25" t="str">
        <f t="shared" si="11"/>
        <v>FRE (704)</v>
      </c>
    </row>
    <row r="26" spans="2:16">
      <c r="B26" s="2" t="str">
        <f t="shared" si="12"/>
        <v>OLS</v>
      </c>
      <c r="C26" s="5">
        <f t="shared" si="13"/>
        <v>0.98093005469932004</v>
      </c>
      <c r="D26" s="5">
        <f t="shared" si="14"/>
        <v>8.3129665652484919E-3</v>
      </c>
      <c r="E26" s="5">
        <f t="shared" si="15"/>
        <v>2.0782416413121063E-2</v>
      </c>
      <c r="F26" s="5">
        <f t="shared" si="16"/>
        <v>5.5419777101657353E-3</v>
      </c>
      <c r="G26" s="5">
        <f t="shared" si="17"/>
        <v>1.4432584612144694E-2</v>
      </c>
      <c r="H26" s="5">
        <f t="shared" si="18"/>
        <v>0.99201401011965129</v>
      </c>
      <c r="I26" t="str">
        <f t="shared" si="11"/>
        <v>OLS (738)</v>
      </c>
    </row>
    <row r="27" spans="2:16">
      <c r="B27" s="2" t="str">
        <f t="shared" si="12"/>
        <v>RHS</v>
      </c>
      <c r="C27" s="5">
        <f t="shared" si="13"/>
        <v>0.98195116078415645</v>
      </c>
      <c r="D27" s="5">
        <f t="shared" si="14"/>
        <v>6.2704416397455498E-3</v>
      </c>
      <c r="E27" s="5">
        <f t="shared" si="15"/>
        <v>2.1319501575134958E-2</v>
      </c>
      <c r="F27" s="5">
        <f t="shared" si="16"/>
        <v>5.0163533117963954E-3</v>
      </c>
      <c r="G27" s="5">
        <f t="shared" si="17"/>
        <v>1.5442542689166672E-2</v>
      </c>
      <c r="H27" s="5">
        <f t="shared" si="18"/>
        <v>0.99198386740774924</v>
      </c>
      <c r="I27" t="str">
        <f t="shared" si="11"/>
        <v>RHS (817)</v>
      </c>
    </row>
    <row r="28" spans="2:16">
      <c r="B28" s="2" t="str">
        <f t="shared" si="12"/>
        <v>BRC</v>
      </c>
      <c r="C28" s="5">
        <f t="shared" si="13"/>
        <v>0.98370161741255413</v>
      </c>
      <c r="D28" s="5">
        <f t="shared" si="14"/>
        <v>6.9031692450003401E-3</v>
      </c>
      <c r="E28" s="5">
        <f t="shared" si="15"/>
        <v>1.8408451320001129E-2</v>
      </c>
      <c r="F28" s="5">
        <f t="shared" si="16"/>
        <v>3.451584622500059E-3</v>
      </c>
      <c r="G28" s="5">
        <f t="shared" si="17"/>
        <v>1.7535177399944368E-2</v>
      </c>
      <c r="H28" s="5">
        <f t="shared" si="18"/>
        <v>0.99520689948755481</v>
      </c>
      <c r="I28" t="str">
        <f t="shared" si="11"/>
        <v>BRC (886)</v>
      </c>
    </row>
    <row r="29" spans="2:16">
      <c r="B29" s="2" t="str">
        <f t="shared" si="12"/>
        <v>SGH</v>
      </c>
      <c r="C29" s="5">
        <f t="shared" si="13"/>
        <v>0.98322691040540755</v>
      </c>
      <c r="D29" s="5">
        <f t="shared" si="14"/>
        <v>6.7190905039093973E-3</v>
      </c>
      <c r="E29" s="5">
        <f t="shared" si="15"/>
        <v>1.9037423094409811E-2</v>
      </c>
      <c r="F29" s="5">
        <f t="shared" si="16"/>
        <v>4.4793936692730796E-3</v>
      </c>
      <c r="G29" s="5">
        <f t="shared" si="17"/>
        <v>1.6537182327000188E-2</v>
      </c>
      <c r="H29" s="5">
        <f t="shared" si="18"/>
        <v>1.0078635755864087</v>
      </c>
      <c r="I29" t="str">
        <f t="shared" si="11"/>
        <v>SGH (914)</v>
      </c>
    </row>
    <row r="30" spans="2:16">
      <c r="B30" s="2" t="str">
        <f t="shared" si="12"/>
        <v>LGI</v>
      </c>
      <c r="C30" s="5">
        <f t="shared" si="13"/>
        <v>0.98355329768508937</v>
      </c>
      <c r="D30" s="5">
        <f t="shared" si="14"/>
        <v>6.6757011155096357E-3</v>
      </c>
      <c r="E30" s="5">
        <f t="shared" si="15"/>
        <v>1.8914486493944116E-2</v>
      </c>
      <c r="F30" s="5">
        <f t="shared" si="16"/>
        <v>4.4504674103396091E-3</v>
      </c>
      <c r="G30" s="5">
        <f t="shared" si="17"/>
        <v>1.6406047295117299E-2</v>
      </c>
      <c r="H30" s="5">
        <f t="shared" si="18"/>
        <v>0.9868911482428443</v>
      </c>
      <c r="I30" t="str">
        <f t="shared" si="11"/>
        <v>LGI (919)</v>
      </c>
    </row>
    <row r="31" spans="2:16">
      <c r="B31" s="2" t="str">
        <f t="shared" si="12"/>
        <v>NHB</v>
      </c>
      <c r="C31" s="5">
        <f t="shared" si="13"/>
        <v>0.98569418814974508</v>
      </c>
      <c r="D31" s="5">
        <f t="shared" si="14"/>
        <v>5.4811539656149932E-3</v>
      </c>
      <c r="E31" s="5">
        <f t="shared" si="15"/>
        <v>1.6443461896844647E-2</v>
      </c>
      <c r="F31" s="5">
        <f t="shared" si="16"/>
        <v>4.567628304679161E-3</v>
      </c>
      <c r="G31" s="5">
        <f t="shared" si="17"/>
        <v>1.7813567683116149E-2</v>
      </c>
      <c r="H31" s="5">
        <f t="shared" si="18"/>
        <v>1.0039647013684614</v>
      </c>
      <c r="I31" t="str">
        <f t="shared" si="11"/>
        <v>NHB (1117)</v>
      </c>
    </row>
    <row r="32" spans="2:16">
      <c r="B32" s="2" t="str">
        <f t="shared" si="12"/>
        <v>GUY</v>
      </c>
      <c r="C32" s="5">
        <f t="shared" si="13"/>
        <v>0.98376869955315349</v>
      </c>
      <c r="D32" s="5">
        <f t="shared" si="14"/>
        <v>6.1816704639785502E-3</v>
      </c>
      <c r="E32" s="5">
        <f t="shared" si="15"/>
        <v>1.9428107172503872E-2</v>
      </c>
      <c r="F32" s="5">
        <f t="shared" si="16"/>
        <v>4.415478902841885E-3</v>
      </c>
      <c r="G32" s="5">
        <f t="shared" si="17"/>
        <v>1.6206043907522227E-2</v>
      </c>
      <c r="H32" s="5">
        <f t="shared" si="18"/>
        <v>0.99171656157826882</v>
      </c>
      <c r="I32" t="str">
        <f t="shared" si="11"/>
        <v>GUY (1165)</v>
      </c>
    </row>
    <row r="33" spans="2:14">
      <c r="B33" s="2" t="str">
        <f t="shared" si="12"/>
        <v>ACH</v>
      </c>
      <c r="C33" s="5">
        <f t="shared" si="13"/>
        <v>0.98388712819344049</v>
      </c>
      <c r="D33" s="5">
        <f t="shared" si="14"/>
        <v>6.0202883718130096E-3</v>
      </c>
      <c r="E33" s="5">
        <f t="shared" si="15"/>
        <v>1.8920906311412411E-2</v>
      </c>
      <c r="F33" s="5">
        <f t="shared" si="16"/>
        <v>5.1602471758396273E-3</v>
      </c>
      <c r="G33" s="5">
        <f t="shared" si="17"/>
        <v>1.6011429947494493E-2</v>
      </c>
      <c r="H33" s="5">
        <f t="shared" si="18"/>
        <v>0.99420762254511996</v>
      </c>
      <c r="I33" t="str">
        <f t="shared" si="11"/>
        <v>ACH (1195)</v>
      </c>
    </row>
    <row r="34" spans="2:14">
      <c r="B34" s="2" t="str">
        <f t="shared" si="12"/>
        <v>BCH</v>
      </c>
      <c r="C34" s="5">
        <f t="shared" si="13"/>
        <v>0.98368383244350177</v>
      </c>
      <c r="D34" s="5">
        <f t="shared" si="14"/>
        <v>6.3508999225190266E-3</v>
      </c>
      <c r="E34" s="5">
        <f t="shared" si="15"/>
        <v>1.905269976755708E-2</v>
      </c>
      <c r="F34" s="5">
        <f t="shared" si="16"/>
        <v>4.9395888286258849E-3</v>
      </c>
      <c r="G34" s="5">
        <f t="shared" si="17"/>
        <v>1.5972979037796264E-2</v>
      </c>
      <c r="H34" s="5">
        <f t="shared" si="18"/>
        <v>1.0041478433049518</v>
      </c>
      <c r="I34" t="str">
        <f t="shared" si="11"/>
        <v>BCH (1467)</v>
      </c>
    </row>
    <row r="35" spans="2:14">
      <c r="B35" s="2" t="str">
        <f t="shared" si="12"/>
        <v>GOS</v>
      </c>
      <c r="C35" s="5">
        <f t="shared" si="13"/>
        <v>0.98837443449544238</v>
      </c>
      <c r="D35" s="5">
        <f t="shared" si="14"/>
        <v>4.4748135121469579E-3</v>
      </c>
      <c r="E35" s="5">
        <f t="shared" si="15"/>
        <v>1.398379222545898E-2</v>
      </c>
      <c r="F35" s="5">
        <f t="shared" si="16"/>
        <v>3.3561101341101907E-3</v>
      </c>
      <c r="G35" s="5">
        <f t="shared" si="17"/>
        <v>1.9810849632841521E-2</v>
      </c>
      <c r="H35" s="5">
        <f t="shared" si="18"/>
        <v>1.0040362817879565</v>
      </c>
      <c r="I35" t="str">
        <f t="shared" si="11"/>
        <v>GOS (1828)</v>
      </c>
    </row>
    <row r="38" spans="2:14">
      <c r="B38" t="s">
        <v>43</v>
      </c>
    </row>
    <row r="39" spans="2:14" ht="36" customHeight="1">
      <c r="C39" s="15" t="s">
        <v>37</v>
      </c>
      <c r="D39" s="15" t="s">
        <v>38</v>
      </c>
      <c r="E39" s="15" t="s">
        <v>39</v>
      </c>
      <c r="F39" s="15" t="s">
        <v>40</v>
      </c>
      <c r="G39" s="15" t="s">
        <v>41</v>
      </c>
      <c r="H39" s="15" t="s">
        <v>42</v>
      </c>
      <c r="I39" s="15"/>
    </row>
    <row r="40" spans="2:14" ht="43" customHeight="1">
      <c r="C40" s="5">
        <f t="shared" ref="C40:C53" si="19">M4</f>
        <v>0.96807541351275572</v>
      </c>
      <c r="D40" s="5">
        <f t="shared" ref="D40:D53" si="20">N4-M4</f>
        <v>1.3141295206055559E-2</v>
      </c>
      <c r="E40" s="5">
        <f t="shared" ref="E40:E53" si="21">O4-N4</f>
        <v>3.0663022147462859E-2</v>
      </c>
      <c r="F40" s="5">
        <f t="shared" ref="F40:F53" si="22">P4-O4</f>
        <v>4.3804317353517419E-3</v>
      </c>
      <c r="G40" s="5">
        <f t="shared" ref="G40:G53" si="23">1.03-P4</f>
        <v>1.3739837398374144E-2</v>
      </c>
      <c r="H40" s="5">
        <f t="shared" ref="H40:H53" si="24">L4</f>
        <v>0.99873843566021858</v>
      </c>
      <c r="J40" s="17">
        <v>13.5</v>
      </c>
      <c r="K40" s="20" t="s">
        <v>44</v>
      </c>
      <c r="L40" s="20"/>
      <c r="M40" s="20"/>
      <c r="N40" s="20"/>
    </row>
    <row r="41" spans="2:14" ht="43" customHeight="1">
      <c r="C41" s="5">
        <f t="shared" si="19"/>
        <v>0.97342569162214898</v>
      </c>
      <c r="D41" s="5">
        <f t="shared" si="20"/>
        <v>1.065017168076754E-2</v>
      </c>
      <c r="E41" s="5">
        <f t="shared" si="21"/>
        <v>2.9820480706149066E-2</v>
      </c>
      <c r="F41" s="5">
        <f t="shared" si="22"/>
        <v>6.3901030084603239E-3</v>
      </c>
      <c r="G41" s="5">
        <f t="shared" si="23"/>
        <v>9.7135529824741162E-3</v>
      </c>
      <c r="H41" s="5">
        <f t="shared" si="24"/>
        <v>1.007506241000605</v>
      </c>
      <c r="J41" s="17">
        <f>J40-1</f>
        <v>12.5</v>
      </c>
      <c r="K41" s="20" t="s">
        <v>45</v>
      </c>
      <c r="L41" s="20"/>
      <c r="M41" s="20"/>
      <c r="N41" s="20"/>
    </row>
    <row r="42" spans="2:14" ht="43" customHeight="1">
      <c r="C42" s="5">
        <f t="shared" si="19"/>
        <v>0.97625995172736757</v>
      </c>
      <c r="D42" s="5">
        <f t="shared" si="20"/>
        <v>9.0060881155661354E-3</v>
      </c>
      <c r="E42" s="5">
        <f t="shared" si="21"/>
        <v>2.7018264346698406E-2</v>
      </c>
      <c r="F42" s="5">
        <f t="shared" si="22"/>
        <v>5.4036528693395258E-3</v>
      </c>
      <c r="G42" s="5">
        <f t="shared" si="23"/>
        <v>1.2312042941028389E-2</v>
      </c>
      <c r="H42" s="5">
        <f t="shared" si="24"/>
        <v>1.0050794336971793</v>
      </c>
      <c r="J42" s="17">
        <f t="shared" ref="J42:J53" si="25">J41-1</f>
        <v>11.5</v>
      </c>
      <c r="K42" s="20" t="s">
        <v>46</v>
      </c>
      <c r="L42" s="20"/>
      <c r="M42" s="20"/>
      <c r="N42" s="20"/>
    </row>
    <row r="43" spans="2:14" ht="43" customHeight="1">
      <c r="C43" s="5">
        <f t="shared" si="19"/>
        <v>0.97866538713603601</v>
      </c>
      <c r="D43" s="5">
        <f t="shared" si="20"/>
        <v>7.314390038385854E-3</v>
      </c>
      <c r="E43" s="5">
        <f t="shared" si="21"/>
        <v>2.6331804138189252E-2</v>
      </c>
      <c r="F43" s="5">
        <f t="shared" si="22"/>
        <v>5.851512030708772E-3</v>
      </c>
      <c r="G43" s="5">
        <f t="shared" si="23"/>
        <v>1.1836906656680135E-2</v>
      </c>
      <c r="H43" s="5">
        <f t="shared" si="24"/>
        <v>1.0064600692819026</v>
      </c>
      <c r="J43" s="17">
        <f t="shared" si="25"/>
        <v>10.5</v>
      </c>
      <c r="K43" s="20" t="s">
        <v>47</v>
      </c>
      <c r="L43" s="20"/>
      <c r="M43" s="20"/>
      <c r="N43" s="20"/>
    </row>
    <row r="44" spans="2:14" ht="43" customHeight="1">
      <c r="C44" s="5">
        <f t="shared" si="19"/>
        <v>0.98093005469932004</v>
      </c>
      <c r="D44" s="5">
        <f t="shared" si="20"/>
        <v>8.3129665652484919E-3</v>
      </c>
      <c r="E44" s="5">
        <f t="shared" si="21"/>
        <v>2.0782416413121063E-2</v>
      </c>
      <c r="F44" s="5">
        <f t="shared" si="22"/>
        <v>5.5419777101657353E-3</v>
      </c>
      <c r="G44" s="5">
        <f t="shared" si="23"/>
        <v>1.4432584612144694E-2</v>
      </c>
      <c r="H44" s="5">
        <f t="shared" si="24"/>
        <v>0.99201401011965129</v>
      </c>
      <c r="J44" s="17">
        <f t="shared" si="25"/>
        <v>9.5</v>
      </c>
      <c r="K44" s="20" t="s">
        <v>48</v>
      </c>
      <c r="L44" s="20"/>
      <c r="M44" s="20"/>
      <c r="N44" s="20"/>
    </row>
    <row r="45" spans="2:14" ht="43" customHeight="1">
      <c r="C45" s="5">
        <f t="shared" si="19"/>
        <v>0.98195116078415645</v>
      </c>
      <c r="D45" s="5">
        <f t="shared" si="20"/>
        <v>6.2704416397455498E-3</v>
      </c>
      <c r="E45" s="5">
        <f t="shared" si="21"/>
        <v>2.1319501575134958E-2</v>
      </c>
      <c r="F45" s="5">
        <f t="shared" si="22"/>
        <v>5.0163533117963954E-3</v>
      </c>
      <c r="G45" s="5">
        <f t="shared" si="23"/>
        <v>1.5442542689166672E-2</v>
      </c>
      <c r="H45" s="5">
        <f t="shared" si="24"/>
        <v>0.99198386740774924</v>
      </c>
      <c r="J45" s="17">
        <f t="shared" si="25"/>
        <v>8.5</v>
      </c>
      <c r="K45" s="20" t="s">
        <v>49</v>
      </c>
      <c r="L45" s="20"/>
      <c r="M45" s="20"/>
      <c r="N45" s="20"/>
    </row>
    <row r="46" spans="2:14" ht="43" customHeight="1">
      <c r="C46" s="5">
        <f t="shared" si="19"/>
        <v>0.98370161741255413</v>
      </c>
      <c r="D46" s="5">
        <f t="shared" si="20"/>
        <v>6.9031692450003401E-3</v>
      </c>
      <c r="E46" s="5">
        <f t="shared" si="21"/>
        <v>1.8408451320001129E-2</v>
      </c>
      <c r="F46" s="5">
        <f t="shared" si="22"/>
        <v>3.451584622500059E-3</v>
      </c>
      <c r="G46" s="5">
        <f t="shared" si="23"/>
        <v>1.7535177399944368E-2</v>
      </c>
      <c r="H46" s="5">
        <f t="shared" si="24"/>
        <v>0.99520689948755481</v>
      </c>
      <c r="J46" s="17">
        <f t="shared" si="25"/>
        <v>7.5</v>
      </c>
      <c r="K46" s="20" t="s">
        <v>50</v>
      </c>
      <c r="L46" s="20"/>
      <c r="M46" s="20"/>
      <c r="N46" s="20"/>
    </row>
    <row r="47" spans="2:14" ht="43" customHeight="1">
      <c r="C47" s="5">
        <f t="shared" si="19"/>
        <v>0.98322691040540755</v>
      </c>
      <c r="D47" s="5">
        <f t="shared" si="20"/>
        <v>6.7190905039093973E-3</v>
      </c>
      <c r="E47" s="5">
        <f t="shared" si="21"/>
        <v>1.9037423094409811E-2</v>
      </c>
      <c r="F47" s="5">
        <f t="shared" si="22"/>
        <v>4.4793936692730796E-3</v>
      </c>
      <c r="G47" s="5">
        <f t="shared" si="23"/>
        <v>1.6537182327000188E-2</v>
      </c>
      <c r="H47" s="5">
        <f t="shared" si="24"/>
        <v>1.0078635755864087</v>
      </c>
      <c r="J47" s="17">
        <f t="shared" si="25"/>
        <v>6.5</v>
      </c>
      <c r="K47" s="20" t="s">
        <v>51</v>
      </c>
      <c r="L47" s="20"/>
      <c r="M47" s="20"/>
      <c r="N47" s="20"/>
    </row>
    <row r="48" spans="2:14" ht="43" customHeight="1">
      <c r="C48" s="5">
        <f t="shared" si="19"/>
        <v>0.98355329768508937</v>
      </c>
      <c r="D48" s="5">
        <f t="shared" si="20"/>
        <v>6.6757011155096357E-3</v>
      </c>
      <c r="E48" s="5">
        <f t="shared" si="21"/>
        <v>1.8914486493944116E-2</v>
      </c>
      <c r="F48" s="5">
        <f t="shared" si="22"/>
        <v>4.4504674103396091E-3</v>
      </c>
      <c r="G48" s="5">
        <f t="shared" si="23"/>
        <v>1.6406047295117299E-2</v>
      </c>
      <c r="H48" s="5">
        <f t="shared" si="24"/>
        <v>0.9868911482428443</v>
      </c>
      <c r="J48" s="17">
        <f t="shared" si="25"/>
        <v>5.5</v>
      </c>
      <c r="K48" s="20" t="s">
        <v>52</v>
      </c>
      <c r="L48" s="20"/>
      <c r="M48" s="20"/>
      <c r="N48" s="20"/>
    </row>
    <row r="49" spans="3:14" ht="43" customHeight="1">
      <c r="C49" s="5">
        <f t="shared" si="19"/>
        <v>0.98569418814974508</v>
      </c>
      <c r="D49" s="5">
        <f t="shared" si="20"/>
        <v>5.4811539656149932E-3</v>
      </c>
      <c r="E49" s="5">
        <f t="shared" si="21"/>
        <v>1.6443461896844647E-2</v>
      </c>
      <c r="F49" s="5">
        <f t="shared" si="22"/>
        <v>4.567628304679161E-3</v>
      </c>
      <c r="G49" s="5">
        <f t="shared" si="23"/>
        <v>1.7813567683116149E-2</v>
      </c>
      <c r="H49" s="5">
        <f t="shared" si="24"/>
        <v>1.0039647013684614</v>
      </c>
      <c r="J49" s="17">
        <f t="shared" si="25"/>
        <v>4.5</v>
      </c>
      <c r="K49" s="20" t="s">
        <v>53</v>
      </c>
      <c r="L49" s="20"/>
      <c r="M49" s="20"/>
      <c r="N49" s="20"/>
    </row>
    <row r="50" spans="3:14" ht="43" customHeight="1">
      <c r="C50" s="5">
        <f t="shared" si="19"/>
        <v>0.98376869955315349</v>
      </c>
      <c r="D50" s="5">
        <f t="shared" si="20"/>
        <v>6.1816704639785502E-3</v>
      </c>
      <c r="E50" s="5">
        <f t="shared" si="21"/>
        <v>1.9428107172503872E-2</v>
      </c>
      <c r="F50" s="5">
        <f t="shared" si="22"/>
        <v>4.415478902841885E-3</v>
      </c>
      <c r="G50" s="5">
        <f t="shared" si="23"/>
        <v>1.6206043907522227E-2</v>
      </c>
      <c r="H50" s="5">
        <f t="shared" si="24"/>
        <v>0.99171656157826882</v>
      </c>
      <c r="J50" s="17">
        <f t="shared" si="25"/>
        <v>3.5</v>
      </c>
      <c r="K50" s="20" t="s">
        <v>56</v>
      </c>
      <c r="L50" s="20"/>
      <c r="M50" s="20"/>
      <c r="N50" s="20"/>
    </row>
    <row r="51" spans="3:14" ht="43" customHeight="1">
      <c r="C51" s="5">
        <f t="shared" si="19"/>
        <v>0.98388712819344049</v>
      </c>
      <c r="D51" s="5">
        <f t="shared" si="20"/>
        <v>6.0202883718130096E-3</v>
      </c>
      <c r="E51" s="5">
        <f t="shared" si="21"/>
        <v>1.8920906311412411E-2</v>
      </c>
      <c r="F51" s="5">
        <f t="shared" si="22"/>
        <v>5.1602471758396273E-3</v>
      </c>
      <c r="G51" s="5">
        <f t="shared" si="23"/>
        <v>1.6011429947494493E-2</v>
      </c>
      <c r="H51" s="5">
        <f t="shared" si="24"/>
        <v>0.99420762254511996</v>
      </c>
      <c r="J51" s="17">
        <f t="shared" si="25"/>
        <v>2.5</v>
      </c>
      <c r="K51" s="20" t="s">
        <v>57</v>
      </c>
      <c r="L51" s="20"/>
      <c r="M51" s="20"/>
      <c r="N51" s="20"/>
    </row>
    <row r="52" spans="3:14" ht="43" customHeight="1">
      <c r="C52" s="5">
        <f t="shared" si="19"/>
        <v>0.98368383244350177</v>
      </c>
      <c r="D52" s="5">
        <f t="shared" si="20"/>
        <v>6.3508999225190266E-3</v>
      </c>
      <c r="E52" s="5">
        <f t="shared" si="21"/>
        <v>1.905269976755708E-2</v>
      </c>
      <c r="F52" s="5">
        <f t="shared" si="22"/>
        <v>4.9395888286258849E-3</v>
      </c>
      <c r="G52" s="5">
        <f t="shared" si="23"/>
        <v>1.5972979037796264E-2</v>
      </c>
      <c r="H52" s="5">
        <f t="shared" si="24"/>
        <v>1.0041478433049518</v>
      </c>
      <c r="J52" s="17">
        <f t="shared" si="25"/>
        <v>1.5</v>
      </c>
      <c r="K52" s="20" t="s">
        <v>54</v>
      </c>
      <c r="L52" s="20"/>
      <c r="M52" s="20"/>
      <c r="N52" s="20"/>
    </row>
    <row r="53" spans="3:14" ht="43" customHeight="1">
      <c r="C53" s="5">
        <f t="shared" si="19"/>
        <v>0.98837443449544238</v>
      </c>
      <c r="D53" s="5">
        <f t="shared" si="20"/>
        <v>4.4748135121469579E-3</v>
      </c>
      <c r="E53" s="5">
        <f t="shared" si="21"/>
        <v>1.398379222545898E-2</v>
      </c>
      <c r="F53" s="5">
        <f t="shared" si="22"/>
        <v>3.3561101341101907E-3</v>
      </c>
      <c r="G53" s="5">
        <f t="shared" si="23"/>
        <v>1.9810849632841521E-2</v>
      </c>
      <c r="H53" s="5">
        <f t="shared" si="24"/>
        <v>1.0040362817879565</v>
      </c>
      <c r="J53" s="17">
        <f t="shared" si="25"/>
        <v>0.5</v>
      </c>
      <c r="K53" s="20" t="s">
        <v>55</v>
      </c>
      <c r="L53" s="20"/>
      <c r="M53" s="20"/>
      <c r="N53" s="20"/>
    </row>
  </sheetData>
  <mergeCells count="18">
    <mergeCell ref="H2:K2"/>
    <mergeCell ref="F2:G2"/>
    <mergeCell ref="C2:E2"/>
    <mergeCell ref="M2:P2"/>
    <mergeCell ref="K40:N40"/>
    <mergeCell ref="K41:N41"/>
    <mergeCell ref="K42:N42"/>
    <mergeCell ref="K43:N43"/>
    <mergeCell ref="K44:N44"/>
    <mergeCell ref="K45:N45"/>
    <mergeCell ref="K51:N51"/>
    <mergeCell ref="K52:N52"/>
    <mergeCell ref="K53:N53"/>
    <mergeCell ref="K46:N46"/>
    <mergeCell ref="K47:N47"/>
    <mergeCell ref="K48:N48"/>
    <mergeCell ref="K49:N49"/>
    <mergeCell ref="K50:N50"/>
  </mergeCells>
  <phoneticPr fontId="6" type="noConversion"/>
  <pageMargins left="0.70000000000000007" right="0.70000000000000007" top="0.75000000000000011" bottom="0.75000000000000011" header="0.30000000000000004" footer="0.30000000000000004"/>
  <pageSetup paperSize="9" scale="67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7:H32"/>
  <sheetViews>
    <sheetView tabSelected="1" topLeftCell="A16" workbookViewId="0">
      <selection activeCell="B37" sqref="B37"/>
    </sheetView>
  </sheetViews>
  <sheetFormatPr baseColWidth="10" defaultRowHeight="12" x14ac:dyDescent="0"/>
  <cols>
    <col min="1" max="1" width="45" customWidth="1"/>
  </cols>
  <sheetData>
    <row r="17" spans="1:8">
      <c r="A17" s="6"/>
      <c r="B17" s="6"/>
      <c r="C17" s="24" t="s">
        <v>19</v>
      </c>
      <c r="D17" s="25"/>
      <c r="E17" s="26"/>
      <c r="F17" s="8"/>
      <c r="G17" s="8"/>
      <c r="H17" s="8"/>
    </row>
    <row r="18" spans="1:8" ht="48">
      <c r="A18" s="7" t="s">
        <v>63</v>
      </c>
      <c r="B18" s="7" t="s">
        <v>62</v>
      </c>
      <c r="C18" s="7" t="s">
        <v>64</v>
      </c>
      <c r="D18" s="7" t="s">
        <v>65</v>
      </c>
      <c r="E18" s="7" t="s">
        <v>66</v>
      </c>
      <c r="F18" s="9" t="s">
        <v>67</v>
      </c>
      <c r="G18" s="9" t="s">
        <v>21</v>
      </c>
      <c r="H18" s="9" t="s">
        <v>68</v>
      </c>
    </row>
    <row r="19" spans="1:8" ht="28" customHeight="1">
      <c r="A19" s="10" t="s">
        <v>44</v>
      </c>
      <c r="B19" s="10" t="s">
        <v>3</v>
      </c>
      <c r="C19" s="16">
        <v>232</v>
      </c>
      <c r="D19" s="10">
        <v>4</v>
      </c>
      <c r="E19" s="10">
        <f>C19-D19</f>
        <v>228</v>
      </c>
      <c r="F19" s="12">
        <f>1-D19/C19</f>
        <v>0.98275862068965514</v>
      </c>
      <c r="G19" s="12">
        <f>1-Sheet2!A3/C19</f>
        <v>0.9840000000000001</v>
      </c>
      <c r="H19" s="5">
        <f>F19/G19</f>
        <v>0.99873843566021858</v>
      </c>
    </row>
    <row r="20" spans="1:8" ht="28" customHeight="1">
      <c r="A20" s="10" t="s">
        <v>45</v>
      </c>
      <c r="B20" s="10" t="s">
        <v>4</v>
      </c>
      <c r="C20" s="10">
        <v>483</v>
      </c>
      <c r="D20" s="10">
        <v>10</v>
      </c>
      <c r="E20" s="10">
        <f t="shared" ref="E20:E32" si="0">C20-D20</f>
        <v>473</v>
      </c>
      <c r="F20" s="12">
        <f t="shared" ref="F20:F32" si="1">1-D20/C20</f>
        <v>0.97929606625258803</v>
      </c>
      <c r="G20" s="12">
        <f>1-Sheet2!A4/C20</f>
        <v>0.97199999999999998</v>
      </c>
      <c r="H20" s="5">
        <f>F20/G20</f>
        <v>1.007506241000605</v>
      </c>
    </row>
    <row r="21" spans="1:8" ht="28" customHeight="1">
      <c r="A21" s="10" t="s">
        <v>46</v>
      </c>
      <c r="B21" s="10" t="s">
        <v>5</v>
      </c>
      <c r="C21" s="10">
        <v>570</v>
      </c>
      <c r="D21" s="10">
        <v>12</v>
      </c>
      <c r="E21" s="10">
        <f t="shared" si="0"/>
        <v>558</v>
      </c>
      <c r="F21" s="12">
        <f t="shared" si="1"/>
        <v>0.97894736842105268</v>
      </c>
      <c r="G21" s="12">
        <f>1-Sheet2!A5/C21</f>
        <v>0.97400000000000009</v>
      </c>
      <c r="H21" s="5">
        <f>F21/G21</f>
        <v>1.0050794336971793</v>
      </c>
    </row>
    <row r="22" spans="1:8" ht="28" customHeight="1">
      <c r="A22" s="10" t="s">
        <v>47</v>
      </c>
      <c r="B22" s="10" t="s">
        <v>6</v>
      </c>
      <c r="C22" s="10">
        <v>704</v>
      </c>
      <c r="D22" s="10">
        <v>16</v>
      </c>
      <c r="E22" s="10">
        <f t="shared" si="0"/>
        <v>688</v>
      </c>
      <c r="F22" s="12">
        <f t="shared" si="1"/>
        <v>0.97727272727272729</v>
      </c>
      <c r="G22" s="12">
        <f>1-Sheet2!A6/C22</f>
        <v>0.97099999999999997</v>
      </c>
      <c r="H22" s="5">
        <f>F22/G22</f>
        <v>1.0064600692819026</v>
      </c>
    </row>
    <row r="23" spans="1:8" ht="28" customHeight="1">
      <c r="A23" s="10" t="s">
        <v>48</v>
      </c>
      <c r="B23" s="10" t="s">
        <v>7</v>
      </c>
      <c r="C23" s="10">
        <v>738</v>
      </c>
      <c r="D23" s="10">
        <v>22</v>
      </c>
      <c r="E23" s="10">
        <f t="shared" si="0"/>
        <v>716</v>
      </c>
      <c r="F23" s="12">
        <f t="shared" si="1"/>
        <v>0.97018970189701892</v>
      </c>
      <c r="G23" s="12">
        <f>1-Sheet2!A7/C23</f>
        <v>0.97799999999999998</v>
      </c>
      <c r="H23" s="5">
        <f>F23/G23</f>
        <v>0.99201401011965129</v>
      </c>
    </row>
    <row r="24" spans="1:8" ht="28" customHeight="1">
      <c r="A24" s="10" t="s">
        <v>49</v>
      </c>
      <c r="B24" s="10" t="s">
        <v>8</v>
      </c>
      <c r="C24" s="10">
        <v>817</v>
      </c>
      <c r="D24" s="10">
        <v>26</v>
      </c>
      <c r="E24" s="10">
        <f t="shared" si="0"/>
        <v>791</v>
      </c>
      <c r="F24" s="12">
        <f t="shared" si="1"/>
        <v>0.96817625458996326</v>
      </c>
      <c r="G24" s="12">
        <f>1-Sheet2!A8/C24</f>
        <v>0.97599999999999998</v>
      </c>
      <c r="H24" s="5">
        <f>F24/G24</f>
        <v>0.99198386740774924</v>
      </c>
    </row>
    <row r="25" spans="1:8" ht="28" customHeight="1">
      <c r="A25" s="10" t="s">
        <v>50</v>
      </c>
      <c r="B25" s="10" t="s">
        <v>9</v>
      </c>
      <c r="C25" s="10">
        <v>886</v>
      </c>
      <c r="D25" s="10">
        <v>21</v>
      </c>
      <c r="E25" s="10">
        <f t="shared" si="0"/>
        <v>865</v>
      </c>
      <c r="F25" s="12">
        <f t="shared" si="1"/>
        <v>0.97629796839729122</v>
      </c>
      <c r="G25" s="12">
        <f>1-Sheet2!A9/C25</f>
        <v>0.98099999999999998</v>
      </c>
      <c r="H25" s="5">
        <f>F25/G25</f>
        <v>0.99520689948755481</v>
      </c>
    </row>
    <row r="26" spans="1:8" ht="28" customHeight="1">
      <c r="A26" s="10" t="s">
        <v>51</v>
      </c>
      <c r="B26" s="10" t="s">
        <v>10</v>
      </c>
      <c r="C26" s="10">
        <v>914</v>
      </c>
      <c r="D26" s="10">
        <v>14</v>
      </c>
      <c r="E26" s="10">
        <f t="shared" si="0"/>
        <v>900</v>
      </c>
      <c r="F26" s="12">
        <f t="shared" si="1"/>
        <v>0.98468271334792123</v>
      </c>
      <c r="G26" s="12">
        <f>1-Sheet2!A10/C26</f>
        <v>0.97699999999999998</v>
      </c>
      <c r="H26" s="5">
        <f>F26/G26</f>
        <v>1.0078635755864087</v>
      </c>
    </row>
    <row r="27" spans="1:8" ht="28" customHeight="1">
      <c r="A27" s="10" t="s">
        <v>52</v>
      </c>
      <c r="B27" s="10" t="s">
        <v>11</v>
      </c>
      <c r="C27" s="10">
        <v>919</v>
      </c>
      <c r="D27" s="10">
        <v>32</v>
      </c>
      <c r="E27" s="10">
        <f t="shared" si="0"/>
        <v>887</v>
      </c>
      <c r="F27" s="12">
        <f t="shared" si="1"/>
        <v>0.96517954298150166</v>
      </c>
      <c r="G27" s="12">
        <f>1-Sheet2!A11/C27</f>
        <v>0.97799999999999998</v>
      </c>
      <c r="H27" s="5">
        <f>F27/G27</f>
        <v>0.9868911482428443</v>
      </c>
    </row>
    <row r="28" spans="1:8" ht="28" customHeight="1">
      <c r="A28" s="10" t="s">
        <v>53</v>
      </c>
      <c r="B28" s="10" t="s">
        <v>12</v>
      </c>
      <c r="C28" s="10">
        <v>1117</v>
      </c>
      <c r="D28" s="10">
        <v>18</v>
      </c>
      <c r="E28" s="10">
        <f t="shared" si="0"/>
        <v>1099</v>
      </c>
      <c r="F28" s="12">
        <f t="shared" si="1"/>
        <v>0.9838854073410922</v>
      </c>
      <c r="G28" s="12">
        <f>1-Sheet2!A12/C28</f>
        <v>0.98</v>
      </c>
      <c r="H28" s="5">
        <f>F28/G28</f>
        <v>1.0039647013684614</v>
      </c>
    </row>
    <row r="29" spans="1:8" ht="28" customHeight="1">
      <c r="A29" s="10" t="s">
        <v>56</v>
      </c>
      <c r="B29" s="10" t="s">
        <v>13</v>
      </c>
      <c r="C29" s="10">
        <v>1165</v>
      </c>
      <c r="D29" s="10">
        <v>42</v>
      </c>
      <c r="E29" s="10">
        <f t="shared" si="0"/>
        <v>1123</v>
      </c>
      <c r="F29" s="12">
        <f t="shared" si="1"/>
        <v>0.96394849785407721</v>
      </c>
      <c r="G29" s="12">
        <f>1-Sheet2!A13/C29</f>
        <v>0.97199999999999998</v>
      </c>
      <c r="H29" s="5">
        <f>F29/G29</f>
        <v>0.99171656157826882</v>
      </c>
    </row>
    <row r="30" spans="1:8" ht="28" customHeight="1">
      <c r="A30" s="10" t="s">
        <v>57</v>
      </c>
      <c r="B30" s="10" t="s">
        <v>14</v>
      </c>
      <c r="C30" s="10">
        <v>1195</v>
      </c>
      <c r="D30" s="10">
        <v>39</v>
      </c>
      <c r="E30" s="10">
        <f t="shared" si="0"/>
        <v>1156</v>
      </c>
      <c r="F30" s="12">
        <f t="shared" si="1"/>
        <v>0.96736401673640171</v>
      </c>
      <c r="G30" s="12">
        <f>1-Sheet2!A14/C30</f>
        <v>0.97299999999999998</v>
      </c>
      <c r="H30" s="5">
        <f>F30/G30</f>
        <v>0.99420762254511996</v>
      </c>
    </row>
    <row r="31" spans="1:8" ht="28" customHeight="1">
      <c r="A31" s="10" t="s">
        <v>54</v>
      </c>
      <c r="B31" s="10" t="s">
        <v>15</v>
      </c>
      <c r="C31" s="10">
        <v>1467</v>
      </c>
      <c r="D31" s="10">
        <v>44</v>
      </c>
      <c r="E31" s="10">
        <f t="shared" si="0"/>
        <v>1423</v>
      </c>
      <c r="F31" s="12">
        <f t="shared" si="1"/>
        <v>0.97000681663258348</v>
      </c>
      <c r="G31" s="12">
        <f>1-Sheet2!A15/C31</f>
        <v>0.96599999999999997</v>
      </c>
      <c r="H31" s="5">
        <f>F31/G31</f>
        <v>1.0041478433049518</v>
      </c>
    </row>
    <row r="32" spans="1:8" ht="28" customHeight="1">
      <c r="A32" s="10" t="s">
        <v>55</v>
      </c>
      <c r="B32" s="10" t="s">
        <v>16</v>
      </c>
      <c r="C32" s="10">
        <v>1828</v>
      </c>
      <c r="D32" s="10">
        <v>33</v>
      </c>
      <c r="E32" s="10">
        <f t="shared" si="0"/>
        <v>1795</v>
      </c>
      <c r="F32" s="12">
        <f t="shared" si="1"/>
        <v>0.98194748358862149</v>
      </c>
      <c r="G32" s="12">
        <f>1-Sheet2!A16/C32</f>
        <v>0.97799999999999998</v>
      </c>
      <c r="H32" s="5">
        <f>F32/G32</f>
        <v>1.0040362817879565</v>
      </c>
    </row>
  </sheetData>
  <mergeCells count="1">
    <mergeCell ref="C17:E17"/>
  </mergeCells>
  <phoneticPr fontId="6" type="noConversion"/>
  <pageMargins left="0.75000000000000011" right="0.75000000000000011" top="1" bottom="1" header="0.5" footer="0.5"/>
  <pageSetup paperSize="9" scale="27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sqref="A1:T16"/>
    </sheetView>
  </sheetViews>
  <sheetFormatPr baseColWidth="10" defaultRowHeight="12" x14ac:dyDescent="0"/>
  <sheetData>
    <row r="1" spans="1:20">
      <c r="A1" s="19" t="s">
        <v>20</v>
      </c>
      <c r="B1" s="21" t="s">
        <v>31</v>
      </c>
      <c r="C1" s="21"/>
      <c r="D1" s="21"/>
      <c r="E1" s="21"/>
      <c r="F1" s="21" t="s">
        <v>36</v>
      </c>
      <c r="G1" s="21"/>
      <c r="H1" s="21"/>
      <c r="I1" s="21"/>
      <c r="J1" s="14"/>
      <c r="K1" s="8"/>
      <c r="L1" s="21" t="s">
        <v>60</v>
      </c>
      <c r="M1" s="21"/>
      <c r="N1" s="21"/>
      <c r="O1" s="21"/>
      <c r="P1" s="8"/>
      <c r="Q1" s="21" t="s">
        <v>36</v>
      </c>
      <c r="R1" s="21"/>
      <c r="S1" s="21"/>
      <c r="T1" s="21"/>
    </row>
    <row r="2" spans="1:20" ht="48">
      <c r="A2" s="7" t="s">
        <v>2</v>
      </c>
      <c r="B2" s="9" t="s">
        <v>22</v>
      </c>
      <c r="C2" s="9" t="s">
        <v>23</v>
      </c>
      <c r="D2" s="9" t="s">
        <v>24</v>
      </c>
      <c r="E2" s="9" t="s">
        <v>25</v>
      </c>
      <c r="F2" s="9" t="s">
        <v>27</v>
      </c>
      <c r="G2" s="9" t="s">
        <v>28</v>
      </c>
      <c r="H2" s="9" t="s">
        <v>29</v>
      </c>
      <c r="I2" s="9" t="s">
        <v>30</v>
      </c>
      <c r="J2" s="9" t="s">
        <v>59</v>
      </c>
      <c r="K2" s="9" t="s">
        <v>58</v>
      </c>
      <c r="L2" s="9" t="s">
        <v>22</v>
      </c>
      <c r="M2" s="9" t="s">
        <v>23</v>
      </c>
      <c r="N2" s="9" t="s">
        <v>24</v>
      </c>
      <c r="O2" s="9" t="s">
        <v>25</v>
      </c>
      <c r="P2" s="9" t="s">
        <v>61</v>
      </c>
      <c r="Q2" s="9" t="s">
        <v>27</v>
      </c>
      <c r="R2" s="9" t="s">
        <v>28</v>
      </c>
      <c r="S2" s="9" t="s">
        <v>29</v>
      </c>
      <c r="T2" s="9" t="s">
        <v>30</v>
      </c>
    </row>
    <row r="3" spans="1:20">
      <c r="A3" s="11">
        <v>3.7119999999999775</v>
      </c>
      <c r="B3" s="12">
        <f>(_xlfn.BINOM.INV('+mortality'!C19,'+mortality'!G19,1-0.999))/'+mortality'!C19</f>
        <v>0.95258620689655171</v>
      </c>
      <c r="C3" s="12">
        <f>(_xlfn.BINOM.INV('+mortality'!C19,'+mortality'!G19,1-0.975))/'+mortality'!C19</f>
        <v>0.96551724137931039</v>
      </c>
      <c r="D3" s="13">
        <f>(_xlfn.BINOM.INV('+mortality'!C19,'+mortality'!G19,0.975))/'+mortality'!C19</f>
        <v>0.99568965517241381</v>
      </c>
      <c r="E3" s="13">
        <f>(_xlfn.BINOM.INV('+mortality'!C19,'+mortality'!G19,0.999))/'+mortality'!C19</f>
        <v>1</v>
      </c>
      <c r="F3" s="5">
        <f>B3/'+mortality'!G19</f>
        <v>0.96807541351275572</v>
      </c>
      <c r="G3" s="5">
        <f>C3/'+mortality'!G19</f>
        <v>0.98121670871881128</v>
      </c>
      <c r="H3" s="5">
        <f>D3/'+mortality'!G19</f>
        <v>1.0118797308662741</v>
      </c>
      <c r="I3" s="5">
        <f>E3/'+mortality'!G19</f>
        <v>1.0162601626016259</v>
      </c>
      <c r="J3" s="18">
        <f>'+mortality'!D19/'+mortality'!C19</f>
        <v>1.7241379310344827E-2</v>
      </c>
      <c r="K3" s="12">
        <f>A3/'+mortality'!C19</f>
        <v>1.5999999999999903E-2</v>
      </c>
      <c r="L3" s="12">
        <f>(_xlfn.BINOM.INV('+mortality'!C19,K3,1-0.999))/'+mortality'!C19</f>
        <v>0</v>
      </c>
      <c r="M3" s="12">
        <f>(_xlfn.BINOM.INV('+mortality'!C19,K3,1-0.975))/'+mortality'!C19</f>
        <v>4.3103448275862068E-3</v>
      </c>
      <c r="N3" s="13">
        <f>(_xlfn.BINOM.INV('+mortality'!C19,K3,0.975))/'+mortality'!C19</f>
        <v>3.4482758620689655E-2</v>
      </c>
      <c r="O3" s="13">
        <f>(_xlfn.BINOM.INV('+mortality'!C19,K3,0.999))/'+mortality'!C19</f>
        <v>4.7413793103448273E-2</v>
      </c>
      <c r="P3" s="5">
        <f>J3/K3</f>
        <v>1.0775862068965583</v>
      </c>
      <c r="Q3" s="5">
        <f>L3/K3</f>
        <v>0</v>
      </c>
      <c r="R3" s="5">
        <f>M3/K3</f>
        <v>0.26939655172413957</v>
      </c>
      <c r="S3" s="5">
        <f>N3/K3</f>
        <v>2.1551724137931165</v>
      </c>
      <c r="T3" s="5">
        <f>O3/K3</f>
        <v>2.9633620689655351</v>
      </c>
    </row>
    <row r="4" spans="1:20">
      <c r="A4" s="11">
        <v>13.524000000000012</v>
      </c>
      <c r="B4" s="12">
        <f>(_xlfn.BINOM.INV('+mortality'!C20,'+mortality'!G20,1-0.999))/'+mortality'!C20</f>
        <v>0.94616977225672882</v>
      </c>
      <c r="C4" s="12">
        <f>(_xlfn.BINOM.INV('+mortality'!C20,'+mortality'!G20,1-0.975))/'+mortality'!C20</f>
        <v>0.95652173913043481</v>
      </c>
      <c r="D4" s="13">
        <f>(_xlfn.BINOM.INV('+mortality'!C20,'+mortality'!G20,0.975))/'+mortality'!C20</f>
        <v>0.98550724637681164</v>
      </c>
      <c r="E4" s="13">
        <f>(_xlfn.BINOM.INV('+mortality'!C20,'+mortality'!G20,0.999))/'+mortality'!C20</f>
        <v>0.99171842650103514</v>
      </c>
      <c r="F4" s="5">
        <f>B4/'+mortality'!G20</f>
        <v>0.97342569162214898</v>
      </c>
      <c r="G4" s="5">
        <f>C4/'+mortality'!G20</f>
        <v>0.98407586330291652</v>
      </c>
      <c r="H4" s="5">
        <f>D4/'+mortality'!G20</f>
        <v>1.0138963440090656</v>
      </c>
      <c r="I4" s="5">
        <f>E4/'+mortality'!G20</f>
        <v>1.0202864470175259</v>
      </c>
      <c r="J4" s="18">
        <f>'+mortality'!D20/'+mortality'!C20</f>
        <v>2.0703933747412008E-2</v>
      </c>
      <c r="K4" s="12">
        <f>A4/'+mortality'!C20</f>
        <v>2.8000000000000025E-2</v>
      </c>
      <c r="L4" s="12">
        <f>(_xlfn.BINOM.INV('+mortality'!C20,K4,1-0.999))/'+mortality'!C20</f>
        <v>8.2815734989648039E-3</v>
      </c>
      <c r="M4" s="12">
        <f>(_xlfn.BINOM.INV('+mortality'!C20,K4,1-0.975))/'+mortality'!C20</f>
        <v>1.4492753623188406E-2</v>
      </c>
      <c r="N4" s="13">
        <f>(_xlfn.BINOM.INV('+mortality'!C20,K4,0.975))/'+mortality'!C20</f>
        <v>4.3478260869565216E-2</v>
      </c>
      <c r="O4" s="13">
        <f>(_xlfn.BINOM.INV('+mortality'!C20,K4,0.999))/'+mortality'!C20</f>
        <v>5.3830227743271224E-2</v>
      </c>
      <c r="P4" s="5">
        <f>J4/K4</f>
        <v>0.73942620526471392</v>
      </c>
      <c r="Q4" s="5">
        <f>L4/K4</f>
        <v>0.29577048210588558</v>
      </c>
      <c r="R4" s="5">
        <f>M4/K4</f>
        <v>0.51759834368529978</v>
      </c>
      <c r="S4" s="5">
        <f>N4/K4</f>
        <v>1.5527950310558991</v>
      </c>
      <c r="T4" s="5">
        <f>O4/K4</f>
        <v>1.9225081336882563</v>
      </c>
    </row>
    <row r="5" spans="1:20">
      <c r="A5" s="11">
        <v>14.819999999999951</v>
      </c>
      <c r="B5" s="12">
        <f>(_xlfn.BINOM.INV('+mortality'!C21,'+mortality'!G21,1-0.999))/'+mortality'!C21</f>
        <v>0.9508771929824561</v>
      </c>
      <c r="C5" s="12">
        <f>(_xlfn.BINOM.INV('+mortality'!C21,'+mortality'!G21,1-0.975))/'+mortality'!C21</f>
        <v>0.95964912280701753</v>
      </c>
      <c r="D5" s="13">
        <f>(_xlfn.BINOM.INV('+mortality'!C21,'+mortality'!G21,0.975))/'+mortality'!C21</f>
        <v>0.98596491228070171</v>
      </c>
      <c r="E5" s="13">
        <f>(_xlfn.BINOM.INV('+mortality'!C21,'+mortality'!G21,0.999))/'+mortality'!C21</f>
        <v>0.99122807017543857</v>
      </c>
      <c r="F5" s="5">
        <f>B5/'+mortality'!G21</f>
        <v>0.97625995172736757</v>
      </c>
      <c r="G5" s="5">
        <f>C5/'+mortality'!G21</f>
        <v>0.98526603984293371</v>
      </c>
      <c r="H5" s="5">
        <f>D5/'+mortality'!G21</f>
        <v>1.0122843041896321</v>
      </c>
      <c r="I5" s="5">
        <f>E5/'+mortality'!G21</f>
        <v>1.0176879570589716</v>
      </c>
      <c r="J5" s="18">
        <f>'+mortality'!D21/'+mortality'!C21</f>
        <v>2.1052631578947368E-2</v>
      </c>
      <c r="K5" s="12">
        <f>A5/'+mortality'!C21</f>
        <v>2.5999999999999912E-2</v>
      </c>
      <c r="L5" s="12">
        <f>(_xlfn.BINOM.INV('+mortality'!C21,K5,1-0.999))/'+mortality'!C21</f>
        <v>8.771929824561403E-3</v>
      </c>
      <c r="M5" s="12">
        <f>(_xlfn.BINOM.INV('+mortality'!C21,K5,1-0.975))/'+mortality'!C21</f>
        <v>1.4035087719298246E-2</v>
      </c>
      <c r="N5" s="13">
        <f>(_xlfn.BINOM.INV('+mortality'!C21,K5,0.975))/'+mortality'!C21</f>
        <v>4.0350877192982457E-2</v>
      </c>
      <c r="O5" s="13">
        <f>(_xlfn.BINOM.INV('+mortality'!C21,K5,0.999))/'+mortality'!C21</f>
        <v>4.912280701754386E-2</v>
      </c>
      <c r="P5" s="5">
        <f>J5/K5</f>
        <v>0.80971659919028616</v>
      </c>
      <c r="Q5" s="5">
        <f>L5/K5</f>
        <v>0.33738191632928588</v>
      </c>
      <c r="R5" s="5">
        <f>M5/K5</f>
        <v>0.53981106612685748</v>
      </c>
      <c r="S5" s="5">
        <f>N5/K5</f>
        <v>1.5519568151147152</v>
      </c>
      <c r="T5" s="5">
        <f>O5/K5</f>
        <v>1.8893387314440009</v>
      </c>
    </row>
    <row r="6" spans="1:20">
      <c r="A6" s="11">
        <v>20.416000000000018</v>
      </c>
      <c r="B6" s="12">
        <f>(_xlfn.BINOM.INV('+mortality'!C22,'+mortality'!G22,1-0.999))/'+mortality'!C22</f>
        <v>0.95028409090909094</v>
      </c>
      <c r="C6" s="12">
        <f>(_xlfn.BINOM.INV('+mortality'!C22,'+mortality'!G22,1-0.975))/'+mortality'!C22</f>
        <v>0.95738636363636365</v>
      </c>
      <c r="D6" s="13">
        <f>(_xlfn.BINOM.INV('+mortality'!C22,'+mortality'!G22,0.975))/'+mortality'!C22</f>
        <v>0.98295454545454541</v>
      </c>
      <c r="E6" s="13">
        <f>(_xlfn.BINOM.INV('+mortality'!C22,'+mortality'!G22,0.999))/'+mortality'!C22</f>
        <v>0.98863636363636365</v>
      </c>
      <c r="F6" s="5">
        <f>B6/'+mortality'!G22</f>
        <v>0.97866538713603601</v>
      </c>
      <c r="G6" s="5">
        <f>C6/'+mortality'!G22</f>
        <v>0.98597977717442187</v>
      </c>
      <c r="H6" s="5">
        <f>D6/'+mortality'!G22</f>
        <v>1.0123115813126111</v>
      </c>
      <c r="I6" s="5">
        <f>E6/'+mortality'!G22</f>
        <v>1.0181630933433199</v>
      </c>
      <c r="J6" s="18">
        <f>'+mortality'!D22/'+mortality'!C22</f>
        <v>2.2727272727272728E-2</v>
      </c>
      <c r="K6" s="12">
        <f>A6/'+mortality'!C22</f>
        <v>2.9000000000000026E-2</v>
      </c>
      <c r="L6" s="12">
        <f>(_xlfn.BINOM.INV('+mortality'!C22,K6,1-0.999))/'+mortality'!C22</f>
        <v>1.1363636363636364E-2</v>
      </c>
      <c r="M6" s="12">
        <f>(_xlfn.BINOM.INV('+mortality'!C22,K6,1-0.975))/'+mortality'!C22</f>
        <v>1.7045454545454544E-2</v>
      </c>
      <c r="N6" s="13">
        <f>(_xlfn.BINOM.INV('+mortality'!C22,K6,0.975))/'+mortality'!C22</f>
        <v>4.261363636363636E-2</v>
      </c>
      <c r="O6" s="13">
        <f>(_xlfn.BINOM.INV('+mortality'!C22,K6,0.999))/'+mortality'!C22</f>
        <v>4.9715909090909088E-2</v>
      </c>
      <c r="P6" s="5">
        <f>J6/K6</f>
        <v>0.78369905956112784</v>
      </c>
      <c r="Q6" s="5">
        <f>L6/K6</f>
        <v>0.39184952978056392</v>
      </c>
      <c r="R6" s="5">
        <f>M6/K6</f>
        <v>0.58777429467084585</v>
      </c>
      <c r="S6" s="5">
        <f>N6/K6</f>
        <v>1.4694357366771145</v>
      </c>
      <c r="T6" s="5">
        <f>O6/K6</f>
        <v>1.7143416927899671</v>
      </c>
    </row>
    <row r="7" spans="1:20">
      <c r="A7" s="11">
        <v>16.236000000000015</v>
      </c>
      <c r="B7" s="12">
        <f>(_xlfn.BINOM.INV('+mortality'!C23,'+mortality'!G23,1-0.999))/'+mortality'!C23</f>
        <v>0.95934959349593496</v>
      </c>
      <c r="C7" s="12">
        <f>(_xlfn.BINOM.INV('+mortality'!C23,'+mortality'!G23,1-0.975))/'+mortality'!C23</f>
        <v>0.96747967479674801</v>
      </c>
      <c r="D7" s="13">
        <f>(_xlfn.BINOM.INV('+mortality'!C23,'+mortality'!G23,0.975))/'+mortality'!C23</f>
        <v>0.98780487804878048</v>
      </c>
      <c r="E7" s="13">
        <f>(_xlfn.BINOM.INV('+mortality'!C23,'+mortality'!G23,0.999))/'+mortality'!C23</f>
        <v>0.99322493224932251</v>
      </c>
      <c r="F7" s="5">
        <f>B7/'+mortality'!G23</f>
        <v>0.98093005469932004</v>
      </c>
      <c r="G7" s="5">
        <f>C7/'+mortality'!G23</f>
        <v>0.98924302126456853</v>
      </c>
      <c r="H7" s="5">
        <f>D7/'+mortality'!G23</f>
        <v>1.0100254376776896</v>
      </c>
      <c r="I7" s="5">
        <f>E7/'+mortality'!G23</f>
        <v>1.0155674153878553</v>
      </c>
      <c r="J7" s="18">
        <f>'+mortality'!D23/'+mortality'!C23</f>
        <v>2.9810298102981029E-2</v>
      </c>
      <c r="K7" s="12">
        <f>A7/'+mortality'!C23</f>
        <v>2.200000000000002E-2</v>
      </c>
      <c r="L7" s="12">
        <f>(_xlfn.BINOM.INV('+mortality'!C23,K7,1-0.999))/'+mortality'!C23</f>
        <v>6.7750677506775072E-3</v>
      </c>
      <c r="M7" s="12">
        <f>(_xlfn.BINOM.INV('+mortality'!C23,K7,1-0.975))/'+mortality'!C23</f>
        <v>1.2195121951219513E-2</v>
      </c>
      <c r="N7" s="13">
        <f>(_xlfn.BINOM.INV('+mortality'!C23,K7,0.975))/'+mortality'!C23</f>
        <v>3.2520325203252036E-2</v>
      </c>
      <c r="O7" s="13">
        <f>(_xlfn.BINOM.INV('+mortality'!C23,K7,0.999))/'+mortality'!C23</f>
        <v>4.065040650406504E-2</v>
      </c>
      <c r="P7" s="5">
        <f>J7/K7</f>
        <v>1.3550135501355001</v>
      </c>
      <c r="Q7" s="5">
        <f>L7/K7</f>
        <v>0.30795762503079549</v>
      </c>
      <c r="R7" s="5">
        <f>M7/K7</f>
        <v>0.55432372505543193</v>
      </c>
      <c r="S7" s="5">
        <f>N7/K7</f>
        <v>1.4781966001478184</v>
      </c>
      <c r="T7" s="5">
        <f>O7/K7</f>
        <v>1.8477457501847729</v>
      </c>
    </row>
    <row r="8" spans="1:20">
      <c r="A8" s="11">
        <v>19.608000000000018</v>
      </c>
      <c r="B8" s="12">
        <f>(_xlfn.BINOM.INV('+mortality'!C24,'+mortality'!G24,1-0.999))/'+mortality'!C24</f>
        <v>0.95838433292533665</v>
      </c>
      <c r="C8" s="12">
        <f>(_xlfn.BINOM.INV('+mortality'!C24,'+mortality'!G24,1-0.975))/'+mortality'!C24</f>
        <v>0.96450428396572829</v>
      </c>
      <c r="D8" s="13">
        <f>(_xlfn.BINOM.INV('+mortality'!C24,'+mortality'!G24,0.975))/'+mortality'!C24</f>
        <v>0.98531211750306003</v>
      </c>
      <c r="E8" s="13">
        <f>(_xlfn.BINOM.INV('+mortality'!C24,'+mortality'!G24,0.999))/'+mortality'!C24</f>
        <v>0.99020807833537328</v>
      </c>
      <c r="F8" s="5">
        <f>B8/'+mortality'!G24</f>
        <v>0.98195116078415645</v>
      </c>
      <c r="G8" s="5">
        <f>C8/'+mortality'!G24</f>
        <v>0.988221602423902</v>
      </c>
      <c r="H8" s="5">
        <f>D8/'+mortality'!G24</f>
        <v>1.009541103999037</v>
      </c>
      <c r="I8" s="5">
        <f>E8/'+mortality'!G24</f>
        <v>1.0145574573108334</v>
      </c>
      <c r="J8" s="18">
        <f>'+mortality'!D24/'+mortality'!C24</f>
        <v>3.182374541003672E-2</v>
      </c>
      <c r="K8" s="12">
        <f>A8/'+mortality'!C24</f>
        <v>2.4000000000000021E-2</v>
      </c>
      <c r="L8" s="12">
        <f>(_xlfn.BINOM.INV('+mortality'!C24,K8,1-0.999))/'+mortality'!C24</f>
        <v>9.7919216646266821E-3</v>
      </c>
      <c r="M8" s="12">
        <f>(_xlfn.BINOM.INV('+mortality'!C24,K8,1-0.975))/'+mortality'!C24</f>
        <v>1.4687882496940025E-2</v>
      </c>
      <c r="N8" s="13">
        <f>(_xlfn.BINOM.INV('+mortality'!C24,K8,0.975))/'+mortality'!C24</f>
        <v>3.5495716034271728E-2</v>
      </c>
      <c r="O8" s="13">
        <f>(_xlfn.BINOM.INV('+mortality'!C24,K8,0.999))/'+mortality'!C24</f>
        <v>4.1615667074663402E-2</v>
      </c>
      <c r="P8" s="5">
        <f>J8/K8</f>
        <v>1.3259893920848622</v>
      </c>
      <c r="Q8" s="5">
        <f>L8/K8</f>
        <v>0.40799673602611142</v>
      </c>
      <c r="R8" s="5">
        <f>M8/K8</f>
        <v>0.61199510403916713</v>
      </c>
      <c r="S8" s="5">
        <f>N8/K8</f>
        <v>1.4789881680946539</v>
      </c>
      <c r="T8" s="5">
        <f>O8/K8</f>
        <v>1.7339861281109736</v>
      </c>
    </row>
    <row r="9" spans="1:20">
      <c r="A9" s="11">
        <v>16.834000000000014</v>
      </c>
      <c r="B9" s="12">
        <f>(_xlfn.BINOM.INV('+mortality'!C25,'+mortality'!G25,1-0.999))/'+mortality'!C25</f>
        <v>0.96501128668171554</v>
      </c>
      <c r="C9" s="12">
        <f>(_xlfn.BINOM.INV('+mortality'!C25,'+mortality'!G25,1-0.975))/'+mortality'!C25</f>
        <v>0.97178329571106092</v>
      </c>
      <c r="D9" s="13">
        <f>(_xlfn.BINOM.INV('+mortality'!C25,'+mortality'!G25,0.975))/'+mortality'!C25</f>
        <v>0.98984198645598198</v>
      </c>
      <c r="E9" s="13">
        <f>(_xlfn.BINOM.INV('+mortality'!C25,'+mortality'!G25,0.999))/'+mortality'!C25</f>
        <v>0.99322799097065462</v>
      </c>
      <c r="F9" s="5">
        <f>B9/'+mortality'!G25</f>
        <v>0.98370161741255413</v>
      </c>
      <c r="G9" s="5">
        <f>C9/'+mortality'!G25</f>
        <v>0.99060478665755447</v>
      </c>
      <c r="H9" s="5">
        <f>D9/'+mortality'!G25</f>
        <v>1.0090132379775556</v>
      </c>
      <c r="I9" s="5">
        <f>E9/'+mortality'!G25</f>
        <v>1.0124648226000557</v>
      </c>
      <c r="J9" s="18">
        <f>'+mortality'!D25/'+mortality'!C25</f>
        <v>2.3702031602708805E-2</v>
      </c>
      <c r="K9" s="12">
        <f>A9/'+mortality'!C25</f>
        <v>1.9000000000000017E-2</v>
      </c>
      <c r="L9" s="12">
        <f>(_xlfn.BINOM.INV('+mortality'!C25,K9,1-0.999))/'+mortality'!C25</f>
        <v>6.7720090293453723E-3</v>
      </c>
      <c r="M9" s="12">
        <f>(_xlfn.BINOM.INV('+mortality'!C25,K9,1-0.975))/'+mortality'!C25</f>
        <v>1.0158013544018058E-2</v>
      </c>
      <c r="N9" s="13">
        <f>(_xlfn.BINOM.INV('+mortality'!C25,K9,0.975))/'+mortality'!C25</f>
        <v>2.8216704288939052E-2</v>
      </c>
      <c r="O9" s="13">
        <f>(_xlfn.BINOM.INV('+mortality'!C25,K9,0.999))/'+mortality'!C25</f>
        <v>3.4988713318284424E-2</v>
      </c>
      <c r="P9" s="5">
        <f>J9/K9</f>
        <v>1.2474753475109885</v>
      </c>
      <c r="Q9" s="5">
        <f>L9/K9</f>
        <v>0.35642152786028242</v>
      </c>
      <c r="R9" s="5">
        <f>M9/K9</f>
        <v>0.53463229179042371</v>
      </c>
      <c r="S9" s="5">
        <f>N9/K9</f>
        <v>1.4850896994178435</v>
      </c>
      <c r="T9" s="5">
        <f>O9/K9</f>
        <v>1.841511227278126</v>
      </c>
    </row>
    <row r="10" spans="1:20">
      <c r="A10" s="11">
        <v>21.02200000000002</v>
      </c>
      <c r="B10" s="12">
        <f>(_xlfn.BINOM.INV('+mortality'!C26,'+mortality'!G26,1-0.999))/'+mortality'!C26</f>
        <v>0.96061269146608319</v>
      </c>
      <c r="C10" s="12">
        <f>(_xlfn.BINOM.INV('+mortality'!C26,'+mortality'!G26,1-0.975))/'+mortality'!C26</f>
        <v>0.96717724288840268</v>
      </c>
      <c r="D10" s="13">
        <f>(_xlfn.BINOM.INV('+mortality'!C26,'+mortality'!G26,0.975))/'+mortality'!C26</f>
        <v>0.98577680525164113</v>
      </c>
      <c r="E10" s="13">
        <f>(_xlfn.BINOM.INV('+mortality'!C26,'+mortality'!G26,0.999))/'+mortality'!C26</f>
        <v>0.99015317286652083</v>
      </c>
      <c r="F10" s="5">
        <f>B10/'+mortality'!G26</f>
        <v>0.98322691040540755</v>
      </c>
      <c r="G10" s="5">
        <f>C10/'+mortality'!G26</f>
        <v>0.98994600090931695</v>
      </c>
      <c r="H10" s="5">
        <f>D10/'+mortality'!G26</f>
        <v>1.0089834240037268</v>
      </c>
      <c r="I10" s="5">
        <f>E10/'+mortality'!G26</f>
        <v>1.0134628176729998</v>
      </c>
      <c r="J10" s="18">
        <f>'+mortality'!D26/'+mortality'!C26</f>
        <v>1.5317286652078774E-2</v>
      </c>
      <c r="K10" s="12">
        <f>A10/'+mortality'!C26</f>
        <v>2.300000000000002E-2</v>
      </c>
      <c r="L10" s="12">
        <f>(_xlfn.BINOM.INV('+mortality'!C26,K10,1-0.999))/'+mortality'!C26</f>
        <v>9.8468271334792128E-3</v>
      </c>
      <c r="M10" s="12">
        <f>(_xlfn.BINOM.INV('+mortality'!C26,K10,1-0.975))/'+mortality'!C26</f>
        <v>1.4223194748358862E-2</v>
      </c>
      <c r="N10" s="13">
        <f>(_xlfn.BINOM.INV('+mortality'!C26,K10,0.975))/'+mortality'!C26</f>
        <v>3.2822757111597371E-2</v>
      </c>
      <c r="O10" s="13">
        <f>(_xlfn.BINOM.INV('+mortality'!C26,K10,0.999))/'+mortality'!C26</f>
        <v>3.9387308533916851E-2</v>
      </c>
      <c r="P10" s="5">
        <f>J10/K10</f>
        <v>0.66596898487298961</v>
      </c>
      <c r="Q10" s="5">
        <f>L10/K10</f>
        <v>0.42812291884692194</v>
      </c>
      <c r="R10" s="5">
        <f>M10/K10</f>
        <v>0.61839977166777604</v>
      </c>
      <c r="S10" s="5">
        <f>N10/K10</f>
        <v>1.4270763961564061</v>
      </c>
      <c r="T10" s="5">
        <f>O10/K10</f>
        <v>1.7124916753876878</v>
      </c>
    </row>
    <row r="11" spans="1:20">
      <c r="A11" s="11">
        <v>20.218000000000018</v>
      </c>
      <c r="B11" s="12">
        <f>(_xlfn.BINOM.INV('+mortality'!C27,'+mortality'!G27,1-0.999))/'+mortality'!C27</f>
        <v>0.9619151251360174</v>
      </c>
      <c r="C11" s="12">
        <f>(_xlfn.BINOM.INV('+mortality'!C27,'+mortality'!G27,1-0.975))/'+mortality'!C27</f>
        <v>0.96844396082698581</v>
      </c>
      <c r="D11" s="13">
        <f>(_xlfn.BINOM.INV('+mortality'!C27,'+mortality'!G27,0.975))/'+mortality'!C27</f>
        <v>0.98694232861806308</v>
      </c>
      <c r="E11" s="13">
        <f>(_xlfn.BINOM.INV('+mortality'!C27,'+mortality'!G27,0.999))/'+mortality'!C27</f>
        <v>0.99129488574537539</v>
      </c>
      <c r="F11" s="5">
        <f>B11/'+mortality'!G27</f>
        <v>0.98355329768508937</v>
      </c>
      <c r="G11" s="5">
        <f>C11/'+mortality'!G27</f>
        <v>0.990228998800599</v>
      </c>
      <c r="H11" s="5">
        <f>D11/'+mortality'!G27</f>
        <v>1.0091434852945431</v>
      </c>
      <c r="I11" s="5">
        <f>E11/'+mortality'!G27</f>
        <v>1.0135939527048827</v>
      </c>
      <c r="J11" s="18">
        <f>'+mortality'!D27/'+mortality'!C27</f>
        <v>3.4820457018498369E-2</v>
      </c>
      <c r="K11" s="12">
        <f>A11/'+mortality'!C27</f>
        <v>2.200000000000002E-2</v>
      </c>
      <c r="L11" s="12">
        <f>(_xlfn.BINOM.INV('+mortality'!C27,K11,1-0.999))/'+mortality'!C27</f>
        <v>8.7051142546245922E-3</v>
      </c>
      <c r="M11" s="12">
        <f>(_xlfn.BINOM.INV('+mortality'!C27,K11,1-0.975))/'+mortality'!C27</f>
        <v>1.3057671381936888E-2</v>
      </c>
      <c r="N11" s="13">
        <f>(_xlfn.BINOM.INV('+mortality'!C27,K11,0.975))/'+mortality'!C27</f>
        <v>3.1556039173014146E-2</v>
      </c>
      <c r="O11" s="13">
        <f>(_xlfn.BINOM.INV('+mortality'!C27,K11,0.999))/'+mortality'!C27</f>
        <v>3.8084874863982592E-2</v>
      </c>
      <c r="P11" s="5">
        <f>J11/K11</f>
        <v>1.5827480462953789</v>
      </c>
      <c r="Q11" s="5">
        <f>L11/K11</f>
        <v>0.39568701157384473</v>
      </c>
      <c r="R11" s="5">
        <f>M11/K11</f>
        <v>0.59353051736076712</v>
      </c>
      <c r="S11" s="5">
        <f>N11/K11</f>
        <v>1.4343654169551872</v>
      </c>
      <c r="T11" s="5">
        <f>O11/K11</f>
        <v>1.7311306756355709</v>
      </c>
    </row>
    <row r="12" spans="1:20">
      <c r="A12" s="11">
        <v>22.340000000000021</v>
      </c>
      <c r="B12" s="12">
        <f>(_xlfn.BINOM.INV('+mortality'!C28,'+mortality'!G28,1-0.999))/'+mortality'!C28</f>
        <v>0.9659803043867502</v>
      </c>
      <c r="C12" s="12">
        <f>(_xlfn.BINOM.INV('+mortality'!C28,'+mortality'!G28,1-0.975))/'+mortality'!C28</f>
        <v>0.9713518352730528</v>
      </c>
      <c r="D12" s="13">
        <f>(_xlfn.BINOM.INV('+mortality'!C28,'+mortality'!G28,0.975))/'+mortality'!C28</f>
        <v>0.9874664279319606</v>
      </c>
      <c r="E12" s="13">
        <f>(_xlfn.BINOM.INV('+mortality'!C28,'+mortality'!G28,0.999))/'+mortality'!C28</f>
        <v>0.99194270367054616</v>
      </c>
      <c r="F12" s="5">
        <f>B12/'+mortality'!G28</f>
        <v>0.98569418814974508</v>
      </c>
      <c r="G12" s="5">
        <f>C12/'+mortality'!G28</f>
        <v>0.99117534211536007</v>
      </c>
      <c r="H12" s="5">
        <f>D12/'+mortality'!G28</f>
        <v>1.0076188040122047</v>
      </c>
      <c r="I12" s="5">
        <f>E12/'+mortality'!G28</f>
        <v>1.0121864323168839</v>
      </c>
      <c r="J12" s="18">
        <f>'+mortality'!D28/'+mortality'!C28</f>
        <v>1.611459265890779E-2</v>
      </c>
      <c r="K12" s="12">
        <f>A12/'+mortality'!C28</f>
        <v>2.0000000000000018E-2</v>
      </c>
      <c r="L12" s="12">
        <f>(_xlfn.BINOM.INV('+mortality'!C28,K12,1-0.999))/'+mortality'!C28</f>
        <v>8.057296329453895E-3</v>
      </c>
      <c r="M12" s="12">
        <f>(_xlfn.BINOM.INV('+mortality'!C28,K12,1-0.975))/'+mortality'!C28</f>
        <v>1.2533572068039392E-2</v>
      </c>
      <c r="N12" s="13">
        <f>(_xlfn.BINOM.INV('+mortality'!C28,K12,0.975))/'+mortality'!C28</f>
        <v>2.864816472694718E-2</v>
      </c>
      <c r="O12" s="13">
        <f>(_xlfn.BINOM.INV('+mortality'!C28,K12,0.999))/'+mortality'!C28</f>
        <v>3.4019695613249773E-2</v>
      </c>
      <c r="P12" s="5">
        <f>J12/K12</f>
        <v>0.8057296329453888</v>
      </c>
      <c r="Q12" s="5">
        <f>L12/K12</f>
        <v>0.4028648164726944</v>
      </c>
      <c r="R12" s="5">
        <f>M12/K12</f>
        <v>0.62667860340196901</v>
      </c>
      <c r="S12" s="5">
        <f>N12/K12</f>
        <v>1.4324082363473578</v>
      </c>
      <c r="T12" s="5">
        <f>O12/K12</f>
        <v>1.7009847806624872</v>
      </c>
    </row>
    <row r="13" spans="1:20">
      <c r="A13" s="11">
        <v>32.620000000000026</v>
      </c>
      <c r="B13" s="12">
        <f>(_xlfn.BINOM.INV('+mortality'!C29,'+mortality'!G29,1-0.999))/'+mortality'!C29</f>
        <v>0.9562231759656652</v>
      </c>
      <c r="C13" s="12">
        <f>(_xlfn.BINOM.INV('+mortality'!C29,'+mortality'!G29,1-0.975))/'+mortality'!C29</f>
        <v>0.96223175965665231</v>
      </c>
      <c r="D13" s="13">
        <f>(_xlfn.BINOM.INV('+mortality'!C29,'+mortality'!G29,0.975))/'+mortality'!C29</f>
        <v>0.98111587982832615</v>
      </c>
      <c r="E13" s="13">
        <f>(_xlfn.BINOM.INV('+mortality'!C29,'+mortality'!G29,0.999))/'+mortality'!C29</f>
        <v>0.98540772532188836</v>
      </c>
      <c r="F13" s="5">
        <f>B13/'+mortality'!G29</f>
        <v>0.98376869955315349</v>
      </c>
      <c r="G13" s="5">
        <f>C13/'+mortality'!G29</f>
        <v>0.98995037001713204</v>
      </c>
      <c r="H13" s="5">
        <f>D13/'+mortality'!G29</f>
        <v>1.0093784771896359</v>
      </c>
      <c r="I13" s="5">
        <f>E13/'+mortality'!G29</f>
        <v>1.0137939560924778</v>
      </c>
      <c r="J13" s="18">
        <f>'+mortality'!D29/'+mortality'!C29</f>
        <v>3.6051502145922745E-2</v>
      </c>
      <c r="K13" s="12">
        <f>A13/'+mortality'!C29</f>
        <v>2.8000000000000021E-2</v>
      </c>
      <c r="L13" s="12">
        <f>(_xlfn.BINOM.INV('+mortality'!C29,K13,1-0.999))/'+mortality'!C29</f>
        <v>1.4592274678111588E-2</v>
      </c>
      <c r="M13" s="12">
        <f>(_xlfn.BINOM.INV('+mortality'!C29,K13,1-0.975))/'+mortality'!C29</f>
        <v>1.8884120171673818E-2</v>
      </c>
      <c r="N13" s="13">
        <f>(_xlfn.BINOM.INV('+mortality'!C29,K13,0.975))/'+mortality'!C29</f>
        <v>3.7768240343347637E-2</v>
      </c>
      <c r="O13" s="13">
        <f>(_xlfn.BINOM.INV('+mortality'!C29,K13,0.999))/'+mortality'!C29</f>
        <v>4.3776824034334763E-2</v>
      </c>
      <c r="P13" s="5">
        <f>J13/K13</f>
        <v>1.2875536480686685</v>
      </c>
      <c r="Q13" s="5">
        <f>L13/K13</f>
        <v>0.52115266707541352</v>
      </c>
      <c r="R13" s="5">
        <f>M13/K13</f>
        <v>0.67443286327406438</v>
      </c>
      <c r="S13" s="5">
        <f>N13/K13</f>
        <v>1.3488657265481288</v>
      </c>
      <c r="T13" s="5">
        <f>O13/K13</f>
        <v>1.5634580012262402</v>
      </c>
    </row>
    <row r="14" spans="1:20">
      <c r="A14" s="11">
        <v>32.265000000000029</v>
      </c>
      <c r="B14" s="12">
        <f>(_xlfn.BINOM.INV('+mortality'!C30,'+mortality'!G30,1-0.999))/'+mortality'!C30</f>
        <v>0.95732217573221756</v>
      </c>
      <c r="C14" s="12">
        <f>(_xlfn.BINOM.INV('+mortality'!C30,'+mortality'!G30,1-0.975))/'+mortality'!C30</f>
        <v>0.9631799163179916</v>
      </c>
      <c r="D14" s="13">
        <f>(_xlfn.BINOM.INV('+mortality'!C30,'+mortality'!G30,0.975))/'+mortality'!C30</f>
        <v>0.98158995815899586</v>
      </c>
      <c r="E14" s="13">
        <f>(_xlfn.BINOM.INV('+mortality'!C30,'+mortality'!G30,0.999))/'+mortality'!C30</f>
        <v>0.98661087866108788</v>
      </c>
      <c r="F14" s="5">
        <f>B14/'+mortality'!G30</f>
        <v>0.98388712819344049</v>
      </c>
      <c r="G14" s="5">
        <f>C14/'+mortality'!G30</f>
        <v>0.9899074165652535</v>
      </c>
      <c r="H14" s="5">
        <f>D14/'+mortality'!G30</f>
        <v>1.0088283228766659</v>
      </c>
      <c r="I14" s="5">
        <f>E14/'+mortality'!G30</f>
        <v>1.0139885700525055</v>
      </c>
      <c r="J14" s="18">
        <f>'+mortality'!D30/'+mortality'!C30</f>
        <v>3.2635983263598324E-2</v>
      </c>
      <c r="K14" s="12">
        <f>A14/'+mortality'!C30</f>
        <v>2.7000000000000024E-2</v>
      </c>
      <c r="L14" s="12">
        <f>(_xlfn.BINOM.INV('+mortality'!C30,K14,1-0.999))/'+mortality'!C30</f>
        <v>1.3389121338912133E-2</v>
      </c>
      <c r="M14" s="12">
        <f>(_xlfn.BINOM.INV('+mortality'!C30,K14,1-0.975))/'+mortality'!C30</f>
        <v>1.8410041841004185E-2</v>
      </c>
      <c r="N14" s="13">
        <f>(_xlfn.BINOM.INV('+mortality'!C30,K14,0.975))/'+mortality'!C30</f>
        <v>3.682008368200837E-2</v>
      </c>
      <c r="O14" s="13">
        <f>(_xlfn.BINOM.INV('+mortality'!C30,K14,0.999))/'+mortality'!C30</f>
        <v>4.2677824267782424E-2</v>
      </c>
      <c r="P14" s="5">
        <f>J14/K14</f>
        <v>1.2087401208740109</v>
      </c>
      <c r="Q14" s="5">
        <f>L14/K14</f>
        <v>0.49589338292267116</v>
      </c>
      <c r="R14" s="5">
        <f>M14/K14</f>
        <v>0.68185340151867291</v>
      </c>
      <c r="S14" s="5">
        <f>N14/K14</f>
        <v>1.3637068030373458</v>
      </c>
      <c r="T14" s="5">
        <f>O14/K14</f>
        <v>1.5806601580660142</v>
      </c>
    </row>
    <row r="15" spans="1:20">
      <c r="A15" s="11">
        <v>49.878000000000043</v>
      </c>
      <c r="B15" s="12">
        <f>(_xlfn.BINOM.INV('+mortality'!C31,'+mortality'!G31,1-0.999))/'+mortality'!C31</f>
        <v>0.95023858214042267</v>
      </c>
      <c r="C15" s="12">
        <f>(_xlfn.BINOM.INV('+mortality'!C31,'+mortality'!G31,1-0.975))/'+mortality'!C31</f>
        <v>0.95637355146557601</v>
      </c>
      <c r="D15" s="13">
        <f>(_xlfn.BINOM.INV('+mortality'!C31,'+mortality'!G31,0.975))/'+mortality'!C31</f>
        <v>0.97477845944103614</v>
      </c>
      <c r="E15" s="13">
        <f>(_xlfn.BINOM.INV('+mortality'!C31,'+mortality'!G31,0.999))/'+mortality'!C31</f>
        <v>0.9795501022494888</v>
      </c>
      <c r="F15" s="5">
        <f>B15/'+mortality'!G31</f>
        <v>0.98368383244350177</v>
      </c>
      <c r="G15" s="5">
        <f>C15/'+mortality'!G31</f>
        <v>0.9900347323660208</v>
      </c>
      <c r="H15" s="5">
        <f>D15/'+mortality'!G31</f>
        <v>1.0090874321335779</v>
      </c>
      <c r="I15" s="5">
        <f>E15/'+mortality'!G31</f>
        <v>1.0140270209622038</v>
      </c>
      <c r="J15" s="18">
        <f>'+mortality'!D31/'+mortality'!C31</f>
        <v>2.9993183367416496E-2</v>
      </c>
      <c r="K15" s="12">
        <f>A15/'+mortality'!C31</f>
        <v>3.400000000000003E-2</v>
      </c>
      <c r="L15" s="12">
        <f>(_xlfn.BINOM.INV('+mortality'!C31,K15,1-0.999))/'+mortality'!C31</f>
        <v>2.0449897750511249E-2</v>
      </c>
      <c r="M15" s="12">
        <f>(_xlfn.BINOM.INV('+mortality'!C31,K15,1-0.975))/'+mortality'!C31</f>
        <v>2.5221540558963872E-2</v>
      </c>
      <c r="N15" s="13">
        <f>(_xlfn.BINOM.INV('+mortality'!C31,K15,0.975))/'+mortality'!C31</f>
        <v>4.3626448534423996E-2</v>
      </c>
      <c r="O15" s="13">
        <f>(_xlfn.BINOM.INV('+mortality'!C31,K15,0.999))/'+mortality'!C31</f>
        <v>4.976141785957737E-2</v>
      </c>
      <c r="P15" s="5">
        <f>J15/K15</f>
        <v>0.88215245198283732</v>
      </c>
      <c r="Q15" s="5">
        <f>L15/K15</f>
        <v>0.60146758089738916</v>
      </c>
      <c r="R15" s="5">
        <f>M15/K15</f>
        <v>0.74181001644011324</v>
      </c>
      <c r="S15" s="5">
        <f>N15/K15</f>
        <v>1.2831308392477634</v>
      </c>
      <c r="T15" s="5">
        <f>O15/K15</f>
        <v>1.4635711135169802</v>
      </c>
    </row>
    <row r="16" spans="1:20">
      <c r="A16" s="11">
        <v>40.216000000000037</v>
      </c>
      <c r="B16" s="12">
        <f>(_xlfn.BINOM.INV('+mortality'!C32,'+mortality'!G32,1-0.999))/'+mortality'!C32</f>
        <v>0.96663019693654262</v>
      </c>
      <c r="C16" s="12">
        <f>(_xlfn.BINOM.INV('+mortality'!C32,'+mortality'!G32,1-0.975))/'+mortality'!C32</f>
        <v>0.97100656455142231</v>
      </c>
      <c r="D16" s="13">
        <f>(_xlfn.BINOM.INV('+mortality'!C32,'+mortality'!G32,0.975))/'+mortality'!C32</f>
        <v>0.98468271334792123</v>
      </c>
      <c r="E16" s="13">
        <f>(_xlfn.BINOM.INV('+mortality'!C32,'+mortality'!G32,0.999))/'+mortality'!C32</f>
        <v>0.98796498905908092</v>
      </c>
      <c r="F16" s="5">
        <f>B16/'+mortality'!G32</f>
        <v>0.98837443449544238</v>
      </c>
      <c r="G16" s="5">
        <f>C16/'+mortality'!G32</f>
        <v>0.99284924800758934</v>
      </c>
      <c r="H16" s="5">
        <f>D16/'+mortality'!G32</f>
        <v>1.0068330402330483</v>
      </c>
      <c r="I16" s="5">
        <f>E16/'+mortality'!G32</f>
        <v>1.0101891503671585</v>
      </c>
      <c r="J16" s="18">
        <f>'+mortality'!D32/'+mortality'!C32</f>
        <v>1.8052516411378557E-2</v>
      </c>
      <c r="K16" s="12">
        <f>A16/'+mortality'!C32</f>
        <v>2.200000000000002E-2</v>
      </c>
      <c r="L16" s="12">
        <f>(_xlfn.BINOM.INV('+mortality'!C32,K16,1-0.999))/'+mortality'!C32</f>
        <v>1.2035010940919038E-2</v>
      </c>
      <c r="M16" s="12">
        <f>(_xlfn.BINOM.INV('+mortality'!C32,K16,1-0.975))/'+mortality'!C32</f>
        <v>1.5317286652078774E-2</v>
      </c>
      <c r="N16" s="13">
        <f>(_xlfn.BINOM.INV('+mortality'!C32,K16,0.975))/'+mortality'!C32</f>
        <v>2.899343544857768E-2</v>
      </c>
      <c r="O16" s="13">
        <f>(_xlfn.BINOM.INV('+mortality'!C32,K16,0.999))/'+mortality'!C32</f>
        <v>3.3369803063457333E-2</v>
      </c>
      <c r="P16" s="5">
        <f>J16/K16</f>
        <v>0.82056892778993373</v>
      </c>
      <c r="Q16" s="5">
        <f>L16/K16</f>
        <v>0.54704595185995575</v>
      </c>
      <c r="R16" s="5">
        <f>M16/K16</f>
        <v>0.69624030236721635</v>
      </c>
      <c r="S16" s="5">
        <f>N16/K16</f>
        <v>1.3178834294808024</v>
      </c>
      <c r="T16" s="5">
        <f>O16/K16</f>
        <v>1.5168092301571501</v>
      </c>
    </row>
  </sheetData>
  <mergeCells count="4">
    <mergeCell ref="L1:O1"/>
    <mergeCell ref="Q1:T1"/>
    <mergeCell ref="B1:E1"/>
    <mergeCell ref="F1:I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</vt:lpstr>
      <vt:lpstr>+mortality</vt:lpstr>
      <vt:lpstr>Sheet2</vt:lpstr>
      <vt:lpstr>EGFunnelChart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Mike Pearson</cp:lastModifiedBy>
  <cp:lastPrinted>2015-05-12T13:51:13Z</cp:lastPrinted>
  <dcterms:created xsi:type="dcterms:W3CDTF">2013-05-07T10:24:22Z</dcterms:created>
  <dcterms:modified xsi:type="dcterms:W3CDTF">2015-05-13T15:53:31Z</dcterms:modified>
</cp:coreProperties>
</file>