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03D6AF8B-20A5-49AB-B341-804FE805E6CF}" xr6:coauthVersionLast="47" xr6:coauthVersionMax="47" xr10:uidLastSave="{00000000-0000-0000-0000-000000000000}"/>
  <bookViews>
    <workbookView xWindow="26868" yWindow="576" windowWidth="17280" windowHeight="8880" xr2:uid="{00000000-000D-0000-FFFF-FFFF00000000}"/>
  </bookViews>
  <sheets>
    <sheet name="Main" sheetId="1" r:id="rId1"/>
    <sheet name="Model" sheetId="2" r:id="rId2"/>
    <sheet name="Acquisitions" sheetId="3" r:id="rId3"/>
    <sheet name="Data Centers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1" l="1"/>
  <c r="H189" i="2"/>
  <c r="V188" i="2"/>
  <c r="V189" i="2" s="1"/>
  <c r="V193" i="2" s="1"/>
  <c r="H165" i="2"/>
  <c r="H164" i="2"/>
  <c r="H167" i="2" s="1"/>
  <c r="V165" i="2"/>
  <c r="W165" i="2"/>
  <c r="X201" i="2"/>
  <c r="W201" i="2"/>
  <c r="V201" i="2"/>
  <c r="U201" i="2"/>
  <c r="W193" i="2"/>
  <c r="U193" i="2"/>
  <c r="X192" i="2"/>
  <c r="W192" i="2"/>
  <c r="V192" i="2"/>
  <c r="U192" i="2"/>
  <c r="X189" i="2"/>
  <c r="X193" i="2" s="1"/>
  <c r="W189" i="2"/>
  <c r="U189" i="2"/>
  <c r="X179" i="2"/>
  <c r="W179" i="2"/>
  <c r="V179" i="2"/>
  <c r="U179" i="2"/>
  <c r="X170" i="2"/>
  <c r="X164" i="2"/>
  <c r="X167" i="2" s="1"/>
  <c r="X171" i="2" s="1"/>
  <c r="W164" i="2"/>
  <c r="W170" i="2" s="1"/>
  <c r="V164" i="2"/>
  <c r="V170" i="2" s="1"/>
  <c r="U164" i="2"/>
  <c r="U170" i="2" s="1"/>
  <c r="E8" i="4"/>
  <c r="D8" i="4"/>
  <c r="C8" i="4"/>
  <c r="V218" i="2"/>
  <c r="U218" i="2"/>
  <c r="U220" i="2" s="1"/>
  <c r="X214" i="2"/>
  <c r="W214" i="2"/>
  <c r="V214" i="2"/>
  <c r="U214" i="2"/>
  <c r="X213" i="2"/>
  <c r="W213" i="2"/>
  <c r="V213" i="2"/>
  <c r="U213" i="2"/>
  <c r="X212" i="2"/>
  <c r="W212" i="2"/>
  <c r="V212" i="2"/>
  <c r="U212" i="2"/>
  <c r="X211" i="2"/>
  <c r="W211" i="2"/>
  <c r="V211" i="2"/>
  <c r="U211" i="2"/>
  <c r="X210" i="2"/>
  <c r="W210" i="2"/>
  <c r="V210" i="2"/>
  <c r="U210" i="2"/>
  <c r="X209" i="2"/>
  <c r="W209" i="2"/>
  <c r="V209" i="2"/>
  <c r="U209" i="2"/>
  <c r="X208" i="2"/>
  <c r="W208" i="2"/>
  <c r="V208" i="2"/>
  <c r="U208" i="2"/>
  <c r="X207" i="2"/>
  <c r="W207" i="2"/>
  <c r="V207" i="2"/>
  <c r="U207" i="2"/>
  <c r="X206" i="2"/>
  <c r="X218" i="2" s="1"/>
  <c r="W206" i="2"/>
  <c r="W218" i="2" s="1"/>
  <c r="V206" i="2"/>
  <c r="U206" i="2"/>
  <c r="X205" i="2"/>
  <c r="W205" i="2"/>
  <c r="V205" i="2"/>
  <c r="U205" i="2"/>
  <c r="H77" i="2"/>
  <c r="H20" i="2"/>
  <c r="X121" i="2"/>
  <c r="X120" i="2"/>
  <c r="X119" i="2"/>
  <c r="X118" i="2"/>
  <c r="X117" i="2"/>
  <c r="X116" i="2"/>
  <c r="X115" i="2"/>
  <c r="X114" i="2"/>
  <c r="X113" i="2"/>
  <c r="X112" i="2"/>
  <c r="X122" i="2" s="1"/>
  <c r="X110" i="2"/>
  <c r="X109" i="2"/>
  <c r="X108" i="2"/>
  <c r="X107" i="2"/>
  <c r="X106" i="2"/>
  <c r="X105" i="2"/>
  <c r="X104" i="2"/>
  <c r="X103" i="2"/>
  <c r="X102" i="2"/>
  <c r="X101" i="2"/>
  <c r="X100" i="2"/>
  <c r="X99" i="2"/>
  <c r="X111" i="2" s="1"/>
  <c r="X98" i="2"/>
  <c r="X97" i="2"/>
  <c r="X96" i="2"/>
  <c r="X95" i="2"/>
  <c r="X125" i="2" s="1"/>
  <c r="X93" i="2"/>
  <c r="X92" i="2"/>
  <c r="X91" i="2"/>
  <c r="X90" i="2"/>
  <c r="X89" i="2"/>
  <c r="X88" i="2"/>
  <c r="X87" i="2"/>
  <c r="X86" i="2"/>
  <c r="X85" i="2"/>
  <c r="X84" i="2"/>
  <c r="X83" i="2"/>
  <c r="X81" i="2"/>
  <c r="X80" i="2"/>
  <c r="X79" i="2"/>
  <c r="X78" i="2"/>
  <c r="V129" i="2"/>
  <c r="W129" i="2"/>
  <c r="U110" i="2"/>
  <c r="V110" i="2"/>
  <c r="W110" i="2"/>
  <c r="W125" i="2"/>
  <c r="W128" i="2" s="1"/>
  <c r="W103" i="2"/>
  <c r="W111" i="2"/>
  <c r="U82" i="2"/>
  <c r="V78" i="2"/>
  <c r="W82" i="2"/>
  <c r="U83" i="2"/>
  <c r="V83" i="2"/>
  <c r="U89" i="2"/>
  <c r="W89" i="2"/>
  <c r="V89" i="2"/>
  <c r="W93" i="2"/>
  <c r="V93" i="2"/>
  <c r="U78" i="2"/>
  <c r="V125" i="2"/>
  <c r="V128" i="2" s="1"/>
  <c r="U125" i="2"/>
  <c r="W122" i="2"/>
  <c r="V122" i="2"/>
  <c r="U122" i="2"/>
  <c r="V111" i="2"/>
  <c r="U111" i="2"/>
  <c r="X77" i="2"/>
  <c r="W77" i="2"/>
  <c r="V77" i="2"/>
  <c r="U77" i="2"/>
  <c r="Z74" i="2"/>
  <c r="Y74" i="2"/>
  <c r="W74" i="2"/>
  <c r="W73" i="2"/>
  <c r="X74" i="2"/>
  <c r="Z73" i="2"/>
  <c r="Y73" i="2"/>
  <c r="X73" i="2"/>
  <c r="J74" i="2"/>
  <c r="I74" i="2"/>
  <c r="H74" i="2"/>
  <c r="G74" i="2"/>
  <c r="F74" i="2"/>
  <c r="E74" i="2"/>
  <c r="N74" i="2"/>
  <c r="M74" i="2"/>
  <c r="L74" i="2"/>
  <c r="K74" i="2"/>
  <c r="N73" i="2"/>
  <c r="M73" i="2"/>
  <c r="L73" i="2"/>
  <c r="J73" i="2"/>
  <c r="I73" i="2"/>
  <c r="H73" i="2"/>
  <c r="G73" i="2"/>
  <c r="F73" i="2"/>
  <c r="E73" i="2"/>
  <c r="K73" i="2"/>
  <c r="V58" i="2"/>
  <c r="V64" i="2" s="1"/>
  <c r="V42" i="2"/>
  <c r="V39" i="2"/>
  <c r="W69" i="2"/>
  <c r="W64" i="2"/>
  <c r="W70" i="2" s="1"/>
  <c r="W55" i="2"/>
  <c r="W71" i="2" s="1"/>
  <c r="W39" i="2"/>
  <c r="X69" i="2"/>
  <c r="X64" i="2"/>
  <c r="X70" i="2" s="1"/>
  <c r="X55" i="2"/>
  <c r="X71" i="2" s="1"/>
  <c r="X39" i="2"/>
  <c r="X21" i="2"/>
  <c r="X19" i="2"/>
  <c r="X18" i="2"/>
  <c r="X17" i="2"/>
  <c r="X16" i="2"/>
  <c r="X15" i="2"/>
  <c r="X12" i="2"/>
  <c r="X11" i="2"/>
  <c r="X10" i="2"/>
  <c r="X9" i="2"/>
  <c r="X8" i="2"/>
  <c r="X7" i="2"/>
  <c r="X6" i="2"/>
  <c r="X13" i="2" s="1"/>
  <c r="X4" i="2"/>
  <c r="X5" i="2" s="1"/>
  <c r="X27" i="2" s="1"/>
  <c r="X3" i="2"/>
  <c r="X33" i="2" s="1"/>
  <c r="Y34" i="2"/>
  <c r="X34" i="2"/>
  <c r="Y33" i="2"/>
  <c r="V34" i="2"/>
  <c r="U34" i="2"/>
  <c r="V33" i="2"/>
  <c r="U33" i="2"/>
  <c r="W34" i="2"/>
  <c r="W33" i="2"/>
  <c r="W19" i="2"/>
  <c r="V19" i="2"/>
  <c r="U19" i="2"/>
  <c r="U11" i="2"/>
  <c r="U13" i="2"/>
  <c r="V3" i="2"/>
  <c r="W11" i="2"/>
  <c r="W13" i="2" s="1"/>
  <c r="Y13" i="2"/>
  <c r="V13" i="2"/>
  <c r="Y5" i="2"/>
  <c r="Y27" i="2" s="1"/>
  <c r="W5" i="2"/>
  <c r="W27" i="2" s="1"/>
  <c r="U5" i="2"/>
  <c r="U27" i="2" s="1"/>
  <c r="D58" i="2"/>
  <c r="D42" i="2"/>
  <c r="D214" i="2"/>
  <c r="C214" i="2"/>
  <c r="D213" i="2"/>
  <c r="C213" i="2"/>
  <c r="D212" i="2"/>
  <c r="C212" i="2"/>
  <c r="D211" i="2"/>
  <c r="C211" i="2"/>
  <c r="D210" i="2"/>
  <c r="C210" i="2"/>
  <c r="D209" i="2"/>
  <c r="C209" i="2"/>
  <c r="D208" i="2"/>
  <c r="C208" i="2"/>
  <c r="D207" i="2"/>
  <c r="C207" i="2"/>
  <c r="D206" i="2"/>
  <c r="C206" i="2"/>
  <c r="D179" i="2"/>
  <c r="V219" i="2" l="1"/>
  <c r="W219" i="2"/>
  <c r="X219" i="2"/>
  <c r="U167" i="2"/>
  <c r="U171" i="2" s="1"/>
  <c r="V167" i="2"/>
  <c r="V171" i="2" s="1"/>
  <c r="W167" i="2"/>
  <c r="W171" i="2" s="1"/>
  <c r="W220" i="2"/>
  <c r="X220" i="2"/>
  <c r="V220" i="2"/>
  <c r="X94" i="2"/>
  <c r="X123" i="2" s="1"/>
  <c r="X128" i="2"/>
  <c r="W94" i="2"/>
  <c r="W126" i="2" s="1"/>
  <c r="W127" i="2" s="1"/>
  <c r="U94" i="2"/>
  <c r="U126" i="2" s="1"/>
  <c r="V94" i="2"/>
  <c r="V126" i="2" s="1"/>
  <c r="U128" i="2"/>
  <c r="Y14" i="2"/>
  <c r="Y29" i="2" s="1"/>
  <c r="W14" i="2"/>
  <c r="W28" i="2" s="1"/>
  <c r="V69" i="2"/>
  <c r="V66" i="2"/>
  <c r="V70" i="2"/>
  <c r="V55" i="2"/>
  <c r="V71" i="2" s="1"/>
  <c r="W66" i="2"/>
  <c r="X66" i="2"/>
  <c r="X14" i="2"/>
  <c r="X29" i="2" s="1"/>
  <c r="W29" i="2"/>
  <c r="U14" i="2"/>
  <c r="U29" i="2" s="1"/>
  <c r="V5" i="2"/>
  <c r="W20" i="2"/>
  <c r="E126" i="2"/>
  <c r="E127" i="2" s="1"/>
  <c r="J125" i="2"/>
  <c r="J128" i="2" s="1"/>
  <c r="I125" i="2"/>
  <c r="I128" i="2" s="1"/>
  <c r="H125" i="2"/>
  <c r="H128" i="2" s="1"/>
  <c r="G125" i="2"/>
  <c r="G128" i="2" s="1"/>
  <c r="F125" i="2"/>
  <c r="F128" i="2" s="1"/>
  <c r="E125" i="2"/>
  <c r="E128" i="2" s="1"/>
  <c r="D125" i="2"/>
  <c r="D128" i="2" s="1"/>
  <c r="N125" i="2"/>
  <c r="N128" i="2" s="1"/>
  <c r="M125" i="2"/>
  <c r="M128" i="2" s="1"/>
  <c r="L125" i="2"/>
  <c r="L128" i="2" s="1"/>
  <c r="K125" i="2"/>
  <c r="K128" i="2" s="1"/>
  <c r="F122" i="2"/>
  <c r="F208" i="2"/>
  <c r="F209" i="2"/>
  <c r="F94" i="2"/>
  <c r="F126" i="2" s="1"/>
  <c r="F127" i="2" s="1"/>
  <c r="J111" i="2"/>
  <c r="J208" i="2"/>
  <c r="J209" i="2"/>
  <c r="G122" i="2"/>
  <c r="G111" i="2"/>
  <c r="G94" i="2"/>
  <c r="G126" i="2" s="1"/>
  <c r="G127" i="2" s="1"/>
  <c r="G208" i="2"/>
  <c r="K122" i="2"/>
  <c r="K111" i="2"/>
  <c r="K208" i="2"/>
  <c r="K209" i="2"/>
  <c r="K94" i="2"/>
  <c r="K126" i="2" s="1"/>
  <c r="P214" i="2"/>
  <c r="O214" i="2"/>
  <c r="N214" i="2"/>
  <c r="M214" i="2"/>
  <c r="L214" i="2"/>
  <c r="P213" i="2"/>
  <c r="O213" i="2"/>
  <c r="N213" i="2"/>
  <c r="M213" i="2"/>
  <c r="L213" i="2"/>
  <c r="P212" i="2"/>
  <c r="O212" i="2"/>
  <c r="N212" i="2"/>
  <c r="M212" i="2"/>
  <c r="L212" i="2"/>
  <c r="P211" i="2"/>
  <c r="O211" i="2"/>
  <c r="N211" i="2"/>
  <c r="M211" i="2"/>
  <c r="L211" i="2"/>
  <c r="P210" i="2"/>
  <c r="O210" i="2"/>
  <c r="N210" i="2"/>
  <c r="M210" i="2"/>
  <c r="L210" i="2"/>
  <c r="P209" i="2"/>
  <c r="O209" i="2"/>
  <c r="N209" i="2"/>
  <c r="M209" i="2"/>
  <c r="L209" i="2"/>
  <c r="P208" i="2"/>
  <c r="O208" i="2"/>
  <c r="N208" i="2"/>
  <c r="M208" i="2"/>
  <c r="L208" i="2"/>
  <c r="P207" i="2"/>
  <c r="O207" i="2"/>
  <c r="N207" i="2"/>
  <c r="M207" i="2"/>
  <c r="L207" i="2"/>
  <c r="P206" i="2"/>
  <c r="O206" i="2"/>
  <c r="N206" i="2"/>
  <c r="M206" i="2"/>
  <c r="L206" i="2"/>
  <c r="P205" i="2"/>
  <c r="J214" i="2"/>
  <c r="I214" i="2"/>
  <c r="H214" i="2"/>
  <c r="G214" i="2"/>
  <c r="F214" i="2"/>
  <c r="E214" i="2"/>
  <c r="J213" i="2"/>
  <c r="I213" i="2"/>
  <c r="H213" i="2"/>
  <c r="G213" i="2"/>
  <c r="F213" i="2"/>
  <c r="E213" i="2"/>
  <c r="J212" i="2"/>
  <c r="I212" i="2"/>
  <c r="H212" i="2"/>
  <c r="G212" i="2"/>
  <c r="F212" i="2"/>
  <c r="E212" i="2"/>
  <c r="J211" i="2"/>
  <c r="I211" i="2"/>
  <c r="H211" i="2"/>
  <c r="G211" i="2"/>
  <c r="F211" i="2"/>
  <c r="E211" i="2"/>
  <c r="J210" i="2"/>
  <c r="I210" i="2"/>
  <c r="H210" i="2"/>
  <c r="G210" i="2"/>
  <c r="F210" i="2"/>
  <c r="E210" i="2"/>
  <c r="I209" i="2"/>
  <c r="H209" i="2"/>
  <c r="G209" i="2"/>
  <c r="E209" i="2"/>
  <c r="I208" i="2"/>
  <c r="H208" i="2"/>
  <c r="E208" i="2"/>
  <c r="J207" i="2"/>
  <c r="I207" i="2"/>
  <c r="H207" i="2"/>
  <c r="G207" i="2"/>
  <c r="F207" i="2"/>
  <c r="E207" i="2"/>
  <c r="J206" i="2"/>
  <c r="I206" i="2"/>
  <c r="H206" i="2"/>
  <c r="G206" i="2"/>
  <c r="F206" i="2"/>
  <c r="E206" i="2"/>
  <c r="K213" i="2"/>
  <c r="K214" i="2"/>
  <c r="K206" i="2"/>
  <c r="K207" i="2"/>
  <c r="K212" i="2"/>
  <c r="K211" i="2"/>
  <c r="K210" i="2"/>
  <c r="P192" i="2"/>
  <c r="O192" i="2"/>
  <c r="N192" i="2"/>
  <c r="M192" i="2"/>
  <c r="L192" i="2"/>
  <c r="K192" i="2"/>
  <c r="J192" i="2"/>
  <c r="I192" i="2"/>
  <c r="H192" i="2"/>
  <c r="F192" i="2"/>
  <c r="E192" i="2"/>
  <c r="D192" i="2"/>
  <c r="G192" i="2"/>
  <c r="P189" i="2"/>
  <c r="P193" i="2" s="1"/>
  <c r="O189" i="2"/>
  <c r="O193" i="2" s="1"/>
  <c r="N189" i="2"/>
  <c r="N193" i="2" s="1"/>
  <c r="M189" i="2"/>
  <c r="M193" i="2" s="1"/>
  <c r="L189" i="2"/>
  <c r="L193" i="2" s="1"/>
  <c r="K189" i="2"/>
  <c r="K193" i="2" s="1"/>
  <c r="J189" i="2"/>
  <c r="J193" i="2" s="1"/>
  <c r="I189" i="2"/>
  <c r="I193" i="2" s="1"/>
  <c r="H193" i="2"/>
  <c r="F189" i="2"/>
  <c r="F193" i="2" s="1"/>
  <c r="E189" i="2"/>
  <c r="E193" i="2" s="1"/>
  <c r="D189" i="2"/>
  <c r="D193" i="2" s="1"/>
  <c r="G189" i="2"/>
  <c r="G193" i="2" s="1"/>
  <c r="P201" i="2"/>
  <c r="O201" i="2"/>
  <c r="N201" i="2"/>
  <c r="M201" i="2"/>
  <c r="L201" i="2"/>
  <c r="K201" i="2"/>
  <c r="J201" i="2"/>
  <c r="I201" i="2"/>
  <c r="H201" i="2"/>
  <c r="G201" i="2"/>
  <c r="F201" i="2"/>
  <c r="E201" i="2"/>
  <c r="J179" i="2"/>
  <c r="I179" i="2"/>
  <c r="H179" i="2"/>
  <c r="G179" i="2"/>
  <c r="F179" i="2"/>
  <c r="E179" i="2"/>
  <c r="P179" i="2"/>
  <c r="O179" i="2"/>
  <c r="N179" i="2"/>
  <c r="M179" i="2"/>
  <c r="L179" i="2"/>
  <c r="K179" i="2"/>
  <c r="P164" i="2"/>
  <c r="P167" i="2" s="1"/>
  <c r="P171" i="2" s="1"/>
  <c r="O164" i="2"/>
  <c r="O167" i="2" s="1"/>
  <c r="O171" i="2" s="1"/>
  <c r="N164" i="2"/>
  <c r="N167" i="2" s="1"/>
  <c r="N171" i="2" s="1"/>
  <c r="M164" i="2"/>
  <c r="M167" i="2" s="1"/>
  <c r="M171" i="2" s="1"/>
  <c r="L164" i="2"/>
  <c r="L167" i="2" s="1"/>
  <c r="L171" i="2" s="1"/>
  <c r="J164" i="2"/>
  <c r="J170" i="2" s="1"/>
  <c r="I164" i="2"/>
  <c r="I167" i="2" s="1"/>
  <c r="I171" i="2" s="1"/>
  <c r="H171" i="2"/>
  <c r="G164" i="2"/>
  <c r="G167" i="2" s="1"/>
  <c r="G171" i="2" s="1"/>
  <c r="F164" i="2"/>
  <c r="F167" i="2" s="1"/>
  <c r="F171" i="2" s="1"/>
  <c r="E164" i="2"/>
  <c r="E167" i="2" s="1"/>
  <c r="E171" i="2" s="1"/>
  <c r="K164" i="2"/>
  <c r="K167" i="2" s="1"/>
  <c r="K171" i="2" s="1"/>
  <c r="J151" i="2"/>
  <c r="I151" i="2"/>
  <c r="H151" i="2"/>
  <c r="G151" i="2"/>
  <c r="F151" i="2"/>
  <c r="E151" i="2"/>
  <c r="D151" i="2"/>
  <c r="N151" i="2"/>
  <c r="M151" i="2"/>
  <c r="L151" i="2"/>
  <c r="K151" i="2"/>
  <c r="C66" i="3"/>
  <c r="C61" i="3"/>
  <c r="C52" i="3"/>
  <c r="C46" i="3"/>
  <c r="C37" i="3"/>
  <c r="C28" i="3"/>
  <c r="C31" i="3" s="1"/>
  <c r="C38" i="3" s="1"/>
  <c r="C12" i="3"/>
  <c r="C14" i="3" s="1"/>
  <c r="C18" i="3" s="1"/>
  <c r="N122" i="2"/>
  <c r="M122" i="2"/>
  <c r="L122" i="2"/>
  <c r="J122" i="2"/>
  <c r="I122" i="2"/>
  <c r="H122" i="2"/>
  <c r="E122" i="2"/>
  <c r="D122" i="2"/>
  <c r="N111" i="2"/>
  <c r="M111" i="2"/>
  <c r="L111" i="2"/>
  <c r="I111" i="2"/>
  <c r="H111" i="2"/>
  <c r="F111" i="2"/>
  <c r="E111" i="2"/>
  <c r="D111" i="2"/>
  <c r="N94" i="2"/>
  <c r="N126" i="2" s="1"/>
  <c r="M94" i="2"/>
  <c r="M126" i="2" s="1"/>
  <c r="L94" i="2"/>
  <c r="J94" i="2"/>
  <c r="I94" i="2"/>
  <c r="H94" i="2"/>
  <c r="E94" i="2"/>
  <c r="D94" i="2"/>
  <c r="D126" i="2" s="1"/>
  <c r="D127" i="2" s="1"/>
  <c r="J69" i="2"/>
  <c r="I69" i="2"/>
  <c r="H69" i="2"/>
  <c r="G69" i="2"/>
  <c r="F69" i="2"/>
  <c r="E69" i="2"/>
  <c r="D69" i="2"/>
  <c r="N69" i="2"/>
  <c r="M69" i="2"/>
  <c r="L69" i="2"/>
  <c r="K69" i="2"/>
  <c r="J12" i="1"/>
  <c r="J11" i="1"/>
  <c r="J39" i="2"/>
  <c r="I39" i="2"/>
  <c r="H39" i="2"/>
  <c r="G39" i="2"/>
  <c r="F39" i="2"/>
  <c r="E39" i="2"/>
  <c r="D39" i="2"/>
  <c r="N39" i="2"/>
  <c r="M39" i="2"/>
  <c r="L39" i="2"/>
  <c r="K39" i="2"/>
  <c r="N64" i="2"/>
  <c r="N66" i="2" s="1"/>
  <c r="M64" i="2"/>
  <c r="M70" i="2" s="1"/>
  <c r="L64" i="2"/>
  <c r="L70" i="2" s="1"/>
  <c r="J64" i="2"/>
  <c r="J66" i="2" s="1"/>
  <c r="I64" i="2"/>
  <c r="I66" i="2" s="1"/>
  <c r="H64" i="2"/>
  <c r="H70" i="2" s="1"/>
  <c r="G64" i="2"/>
  <c r="G66" i="2" s="1"/>
  <c r="F64" i="2"/>
  <c r="F66" i="2" s="1"/>
  <c r="E64" i="2"/>
  <c r="E66" i="2" s="1"/>
  <c r="D64" i="2"/>
  <c r="D70" i="2" s="1"/>
  <c r="K64" i="2"/>
  <c r="K66" i="2" s="1"/>
  <c r="J55" i="2"/>
  <c r="J71" i="2" s="1"/>
  <c r="I55" i="2"/>
  <c r="I71" i="2" s="1"/>
  <c r="H55" i="2"/>
  <c r="H71" i="2" s="1"/>
  <c r="G55" i="2"/>
  <c r="G71" i="2" s="1"/>
  <c r="F55" i="2"/>
  <c r="F71" i="2" s="1"/>
  <c r="E55" i="2"/>
  <c r="E71" i="2" s="1"/>
  <c r="D55" i="2"/>
  <c r="D71" i="2" s="1"/>
  <c r="N55" i="2"/>
  <c r="N71" i="2" s="1"/>
  <c r="M55" i="2"/>
  <c r="M71" i="2" s="1"/>
  <c r="L55" i="2"/>
  <c r="L71" i="2" s="1"/>
  <c r="K55" i="2"/>
  <c r="K71" i="2" s="1"/>
  <c r="J35" i="2"/>
  <c r="I35" i="2"/>
  <c r="H35" i="2"/>
  <c r="G35" i="2"/>
  <c r="F35" i="2"/>
  <c r="E35" i="2"/>
  <c r="D35" i="2"/>
  <c r="J34" i="2"/>
  <c r="I34" i="2"/>
  <c r="H34" i="2"/>
  <c r="G34" i="2"/>
  <c r="J33" i="2"/>
  <c r="I33" i="2"/>
  <c r="H33" i="2"/>
  <c r="G33" i="2"/>
  <c r="O35" i="2"/>
  <c r="N35" i="2"/>
  <c r="M35" i="2"/>
  <c r="L35" i="2"/>
  <c r="O34" i="2"/>
  <c r="N34" i="2"/>
  <c r="M34" i="2"/>
  <c r="L34" i="2"/>
  <c r="O33" i="2"/>
  <c r="N33" i="2"/>
  <c r="M33" i="2"/>
  <c r="L33" i="2"/>
  <c r="K35" i="2"/>
  <c r="K34" i="2"/>
  <c r="K33" i="2"/>
  <c r="J13" i="2"/>
  <c r="I13" i="2"/>
  <c r="H13" i="2"/>
  <c r="G13" i="2"/>
  <c r="F13" i="2"/>
  <c r="E13" i="2"/>
  <c r="D13" i="2"/>
  <c r="C13" i="2"/>
  <c r="O13" i="2"/>
  <c r="N13" i="2"/>
  <c r="M13" i="2"/>
  <c r="L13" i="2"/>
  <c r="K13" i="2"/>
  <c r="J5" i="2"/>
  <c r="J27" i="2" s="1"/>
  <c r="I5" i="2"/>
  <c r="I27" i="2" s="1"/>
  <c r="H5" i="2"/>
  <c r="H27" i="2" s="1"/>
  <c r="G5" i="2"/>
  <c r="G27" i="2" s="1"/>
  <c r="F5" i="2"/>
  <c r="F27" i="2" s="1"/>
  <c r="E5" i="2"/>
  <c r="E27" i="2" s="1"/>
  <c r="D5" i="2"/>
  <c r="D14" i="2" s="1"/>
  <c r="C5" i="2"/>
  <c r="O5" i="2"/>
  <c r="O27" i="2" s="1"/>
  <c r="N5" i="2"/>
  <c r="M5" i="2"/>
  <c r="M14" i="2" s="1"/>
  <c r="M20" i="2" s="1"/>
  <c r="M22" i="2" s="1"/>
  <c r="M24" i="2" s="1"/>
  <c r="L5" i="2"/>
  <c r="K5" i="2"/>
  <c r="J9" i="1"/>
  <c r="J10" i="1" s="1"/>
  <c r="H126" i="2" l="1"/>
  <c r="L129" i="2" s="1"/>
  <c r="X126" i="2"/>
  <c r="X127" i="2" s="1"/>
  <c r="W123" i="2"/>
  <c r="U123" i="2"/>
  <c r="U127" i="2"/>
  <c r="V123" i="2"/>
  <c r="V127" i="2"/>
  <c r="I126" i="2"/>
  <c r="I129" i="2" s="1"/>
  <c r="J126" i="2"/>
  <c r="J129" i="2" s="1"/>
  <c r="L126" i="2"/>
  <c r="M129" i="2"/>
  <c r="M127" i="2"/>
  <c r="N129" i="2"/>
  <c r="N127" i="2"/>
  <c r="K129" i="2"/>
  <c r="K127" i="2"/>
  <c r="L127" i="2"/>
  <c r="Y20" i="2"/>
  <c r="Y30" i="2" s="1"/>
  <c r="Y28" i="2"/>
  <c r="X28" i="2"/>
  <c r="X20" i="2"/>
  <c r="X30" i="2" s="1"/>
  <c r="U28" i="2"/>
  <c r="U20" i="2"/>
  <c r="U22" i="2" s="1"/>
  <c r="V27" i="2"/>
  <c r="V14" i="2"/>
  <c r="W30" i="2"/>
  <c r="W22" i="2"/>
  <c r="L14" i="2"/>
  <c r="L20" i="2" s="1"/>
  <c r="L22" i="2" s="1"/>
  <c r="L24" i="2" s="1"/>
  <c r="H123" i="2"/>
  <c r="E14" i="2"/>
  <c r="E20" i="2" s="1"/>
  <c r="E22" i="2" s="1"/>
  <c r="E77" i="2" s="1"/>
  <c r="E123" i="2"/>
  <c r="F123" i="2"/>
  <c r="K14" i="2"/>
  <c r="K20" i="2" s="1"/>
  <c r="K22" i="2" s="1"/>
  <c r="K77" i="2" s="1"/>
  <c r="J123" i="2"/>
  <c r="P218" i="2"/>
  <c r="D123" i="2"/>
  <c r="L123" i="2"/>
  <c r="M123" i="2"/>
  <c r="M205" i="2"/>
  <c r="M218" i="2" s="1"/>
  <c r="G123" i="2"/>
  <c r="K123" i="2"/>
  <c r="J167" i="2"/>
  <c r="J171" i="2" s="1"/>
  <c r="L170" i="2"/>
  <c r="M170" i="2"/>
  <c r="N170" i="2"/>
  <c r="N70" i="2"/>
  <c r="F170" i="2"/>
  <c r="I123" i="2"/>
  <c r="H170" i="2"/>
  <c r="K170" i="2"/>
  <c r="E170" i="2"/>
  <c r="I170" i="2"/>
  <c r="C14" i="2"/>
  <c r="C20" i="2" s="1"/>
  <c r="P170" i="2"/>
  <c r="N123" i="2"/>
  <c r="O170" i="2"/>
  <c r="M28" i="2"/>
  <c r="G170" i="2"/>
  <c r="O14" i="2"/>
  <c r="O20" i="2" s="1"/>
  <c r="O22" i="2" s="1"/>
  <c r="K70" i="2"/>
  <c r="N14" i="2"/>
  <c r="L31" i="2"/>
  <c r="M31" i="2"/>
  <c r="H66" i="2"/>
  <c r="C27" i="2"/>
  <c r="E70" i="2"/>
  <c r="D27" i="2"/>
  <c r="F70" i="2"/>
  <c r="G70" i="2"/>
  <c r="D66" i="2"/>
  <c r="I70" i="2"/>
  <c r="J70" i="2"/>
  <c r="M29" i="2"/>
  <c r="D20" i="2"/>
  <c r="D29" i="2"/>
  <c r="D28" i="2"/>
  <c r="F14" i="2"/>
  <c r="L27" i="2"/>
  <c r="K27" i="2"/>
  <c r="M27" i="2"/>
  <c r="M30" i="2"/>
  <c r="L66" i="2"/>
  <c r="N27" i="2"/>
  <c r="M66" i="2"/>
  <c r="M77" i="2"/>
  <c r="J14" i="1"/>
  <c r="H14" i="2"/>
  <c r="I14" i="2"/>
  <c r="J14" i="2"/>
  <c r="G14" i="2"/>
  <c r="H127" i="2" l="1"/>
  <c r="H129" i="2"/>
  <c r="X129" i="2"/>
  <c r="Y22" i="2"/>
  <c r="J127" i="2"/>
  <c r="L30" i="2"/>
  <c r="I127" i="2"/>
  <c r="L28" i="2"/>
  <c r="P220" i="2"/>
  <c r="M220" i="2"/>
  <c r="L29" i="2"/>
  <c r="X22" i="2"/>
  <c r="X31" i="2" s="1"/>
  <c r="U30" i="2"/>
  <c r="V29" i="2"/>
  <c r="V28" i="2"/>
  <c r="V20" i="2"/>
  <c r="U31" i="2"/>
  <c r="U24" i="2"/>
  <c r="W24" i="2"/>
  <c r="W31" i="2"/>
  <c r="Y31" i="2"/>
  <c r="Y24" i="2"/>
  <c r="L205" i="2"/>
  <c r="L218" i="2" s="1"/>
  <c r="O28" i="2"/>
  <c r="E30" i="2"/>
  <c r="K31" i="2"/>
  <c r="K29" i="2"/>
  <c r="E29" i="2"/>
  <c r="E28" i="2"/>
  <c r="L77" i="2"/>
  <c r="K24" i="2"/>
  <c r="K205" i="2"/>
  <c r="K218" i="2" s="1"/>
  <c r="K30" i="2"/>
  <c r="E24" i="2"/>
  <c r="E205" i="2"/>
  <c r="E218" i="2" s="1"/>
  <c r="E220" i="2" s="1"/>
  <c r="K28" i="2"/>
  <c r="E31" i="2"/>
  <c r="O24" i="2"/>
  <c r="O205" i="2"/>
  <c r="O218" i="2" s="1"/>
  <c r="C29" i="2"/>
  <c r="C28" i="2"/>
  <c r="O30" i="2"/>
  <c r="N20" i="2"/>
  <c r="N29" i="2"/>
  <c r="N28" i="2"/>
  <c r="O29" i="2"/>
  <c r="O31" i="2"/>
  <c r="F20" i="2"/>
  <c r="F29" i="2"/>
  <c r="F28" i="2"/>
  <c r="G20" i="2"/>
  <c r="G28" i="2"/>
  <c r="G29" i="2"/>
  <c r="J20" i="2"/>
  <c r="J29" i="2"/>
  <c r="J28" i="2"/>
  <c r="I20" i="2"/>
  <c r="I29" i="2"/>
  <c r="I28" i="2"/>
  <c r="H28" i="2"/>
  <c r="H29" i="2"/>
  <c r="C22" i="2"/>
  <c r="C205" i="2" s="1"/>
  <c r="C218" i="2" s="1"/>
  <c r="C220" i="2" s="1"/>
  <c r="C30" i="2"/>
  <c r="D22" i="2"/>
  <c r="D205" i="2" s="1"/>
  <c r="D218" i="2" s="1"/>
  <c r="D220" i="2" s="1"/>
  <c r="D30" i="2"/>
  <c r="O220" i="2" l="1"/>
  <c r="O219" i="2"/>
  <c r="L220" i="2"/>
  <c r="K220" i="2"/>
  <c r="P219" i="2"/>
  <c r="X24" i="2"/>
  <c r="V22" i="2"/>
  <c r="V30" i="2"/>
  <c r="N22" i="2"/>
  <c r="N205" i="2" s="1"/>
  <c r="N218" i="2" s="1"/>
  <c r="N30" i="2"/>
  <c r="I22" i="2"/>
  <c r="I205" i="2" s="1"/>
  <c r="I218" i="2" s="1"/>
  <c r="I30" i="2"/>
  <c r="J22" i="2"/>
  <c r="J205" i="2" s="1"/>
  <c r="J218" i="2" s="1"/>
  <c r="J30" i="2"/>
  <c r="D24" i="2"/>
  <c r="D77" i="2"/>
  <c r="D31" i="2"/>
  <c r="C24" i="2"/>
  <c r="C31" i="2"/>
  <c r="G22" i="2"/>
  <c r="G205" i="2" s="1"/>
  <c r="G218" i="2" s="1"/>
  <c r="G30" i="2"/>
  <c r="H22" i="2"/>
  <c r="H205" i="2" s="1"/>
  <c r="H218" i="2" s="1"/>
  <c r="H30" i="2"/>
  <c r="F22" i="2"/>
  <c r="F205" i="2" s="1"/>
  <c r="F218" i="2" s="1"/>
  <c r="F220" i="2" s="1"/>
  <c r="F30" i="2"/>
  <c r="I219" i="2" l="1"/>
  <c r="I220" i="2"/>
  <c r="M219" i="2"/>
  <c r="H219" i="2"/>
  <c r="H220" i="2"/>
  <c r="N220" i="2"/>
  <c r="N219" i="2"/>
  <c r="G219" i="2"/>
  <c r="G220" i="2"/>
  <c r="K219" i="2"/>
  <c r="L219" i="2"/>
  <c r="J219" i="2"/>
  <c r="J220" i="2"/>
  <c r="V24" i="2"/>
  <c r="V31" i="2"/>
  <c r="N24" i="2"/>
  <c r="N77" i="2"/>
  <c r="N31" i="2"/>
  <c r="H24" i="2"/>
  <c r="H31" i="2"/>
  <c r="G24" i="2"/>
  <c r="G31" i="2"/>
  <c r="G77" i="2"/>
  <c r="J24" i="2"/>
  <c r="J77" i="2"/>
  <c r="J31" i="2"/>
  <c r="F24" i="2"/>
  <c r="F31" i="2"/>
  <c r="F77" i="2"/>
  <c r="I24" i="2"/>
  <c r="I77" i="2"/>
  <c r="I3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Gega Mukhigulashvili</author>
  </authors>
  <commentList>
    <comment ref="N10" authorId="0" shapeId="0" xr:uid="{831BB60C-40E7-4E52-8AC7-F15810ACF6D8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J/TH means joules per Terahash</t>
        </r>
      </text>
    </comment>
  </commentList>
</comments>
</file>

<file path=xl/sharedStrings.xml><?xml version="1.0" encoding="utf-8"?>
<sst xmlns="http://schemas.openxmlformats.org/spreadsheetml/2006/main" count="301" uniqueCount="250">
  <si>
    <t>P</t>
  </si>
  <si>
    <t>S/O</t>
  </si>
  <si>
    <t>MC</t>
  </si>
  <si>
    <t>C</t>
  </si>
  <si>
    <t>D</t>
  </si>
  <si>
    <t>EV</t>
  </si>
  <si>
    <t>Q325</t>
  </si>
  <si>
    <t>Q3FY25</t>
  </si>
  <si>
    <t>Q323</t>
  </si>
  <si>
    <t>Q423</t>
  </si>
  <si>
    <t>Q124</t>
  </si>
  <si>
    <t>Q224</t>
  </si>
  <si>
    <t>Q324</t>
  </si>
  <si>
    <t>Q424</t>
  </si>
  <si>
    <t>Q125</t>
  </si>
  <si>
    <t>Q225</t>
  </si>
  <si>
    <t>Revenue, BTC</t>
  </si>
  <si>
    <t>COGS</t>
  </si>
  <si>
    <t>Gross Profit</t>
  </si>
  <si>
    <t>Prof. fees</t>
  </si>
  <si>
    <t>Payroll</t>
  </si>
  <si>
    <t>G&amp;A</t>
  </si>
  <si>
    <t>Disposal of assets</t>
  </si>
  <si>
    <t>Value of BTC</t>
  </si>
  <si>
    <t>Impairments</t>
  </si>
  <si>
    <t>D&amp;A</t>
  </si>
  <si>
    <t>OpEx</t>
  </si>
  <si>
    <t>OpInc</t>
  </si>
  <si>
    <t>BTC Collateral</t>
  </si>
  <si>
    <t>Gain on derivatives</t>
  </si>
  <si>
    <t>Int Inc</t>
  </si>
  <si>
    <t>Int Exp</t>
  </si>
  <si>
    <t>Other</t>
  </si>
  <si>
    <t>Pretax Income</t>
  </si>
  <si>
    <t>Taxes</t>
  </si>
  <si>
    <t>Net Income</t>
  </si>
  <si>
    <t>EPS</t>
  </si>
  <si>
    <t>Q425</t>
  </si>
  <si>
    <t>Q126</t>
  </si>
  <si>
    <t>Q226</t>
  </si>
  <si>
    <t>Q326</t>
  </si>
  <si>
    <t>Q426</t>
  </si>
  <si>
    <t>Gross Margin</t>
  </si>
  <si>
    <t>Op Margin</t>
  </si>
  <si>
    <t>Tax Margin</t>
  </si>
  <si>
    <t>Int Margin</t>
  </si>
  <si>
    <t>Net Margin</t>
  </si>
  <si>
    <t>Revenue YoY</t>
  </si>
  <si>
    <t>Dilution YoY</t>
  </si>
  <si>
    <t>QoQ</t>
  </si>
  <si>
    <t>Net Cash</t>
  </si>
  <si>
    <t>Cash</t>
  </si>
  <si>
    <t xml:space="preserve">Restricted </t>
  </si>
  <si>
    <t>Prepaids and OCA</t>
  </si>
  <si>
    <t>BTC, C</t>
  </si>
  <si>
    <t>BTC collateral rec.</t>
  </si>
  <si>
    <t>Note rec.</t>
  </si>
  <si>
    <t>Derivative inv.</t>
  </si>
  <si>
    <t>Debt inv.</t>
  </si>
  <si>
    <t>BTC, NC</t>
  </si>
  <si>
    <t>PP&amp;A</t>
  </si>
  <si>
    <t>Lease ROU</t>
  </si>
  <si>
    <t>Intangibles</t>
  </si>
  <si>
    <t>Deposits on miners</t>
  </si>
  <si>
    <t>ONCA</t>
  </si>
  <si>
    <t>Goodwill</t>
  </si>
  <si>
    <t>Total assets</t>
  </si>
  <si>
    <t>A/P</t>
  </si>
  <si>
    <t>Accrued</t>
  </si>
  <si>
    <t>OCL</t>
  </si>
  <si>
    <t>Debt, C</t>
  </si>
  <si>
    <t xml:space="preserve">Dividends </t>
  </si>
  <si>
    <t>Debt, NC</t>
  </si>
  <si>
    <t>Deferred taxes</t>
  </si>
  <si>
    <t>ONCL</t>
  </si>
  <si>
    <t>Total liabilities</t>
  </si>
  <si>
    <t>SE</t>
  </si>
  <si>
    <t>L+SE</t>
  </si>
  <si>
    <t>Current Ratio</t>
  </si>
  <si>
    <t>Debt-to-Equity</t>
  </si>
  <si>
    <t>Fixed Asset Ratio</t>
  </si>
  <si>
    <t>Model NI</t>
  </si>
  <si>
    <t>GAAP NI</t>
  </si>
  <si>
    <t>BTC revenue</t>
  </si>
  <si>
    <t>Gain on BTC</t>
  </si>
  <si>
    <t>BTC issued for services</t>
  </si>
  <si>
    <t>Derivatives</t>
  </si>
  <si>
    <t>BTC collateral</t>
  </si>
  <si>
    <t>Stock-based comp</t>
  </si>
  <si>
    <t>DIT</t>
  </si>
  <si>
    <t>Op lease liabilities</t>
  </si>
  <si>
    <t>A/P and accured</t>
  </si>
  <si>
    <t>CFFO</t>
  </si>
  <si>
    <t>Miners and equipment</t>
  </si>
  <si>
    <t>Purch. Of BTC</t>
  </si>
  <si>
    <t>Purch. Fixed assets</t>
  </si>
  <si>
    <t>Sale of BTC</t>
  </si>
  <si>
    <t>Sale of miners</t>
  </si>
  <si>
    <t>Sale derivatives</t>
  </si>
  <si>
    <t>Acq. GRID infrastructure</t>
  </si>
  <si>
    <t>Acq. LaFayette, GA Location</t>
  </si>
  <si>
    <t>Acq. Twin City, GA Location</t>
  </si>
  <si>
    <t>Acq. Tennessee Locations</t>
  </si>
  <si>
    <t>Acq. LN Energy</t>
  </si>
  <si>
    <t>Acq. Mississippi Locations</t>
  </si>
  <si>
    <t>Acq. Dalton, GA Location</t>
  </si>
  <si>
    <t>Acq. Land in Sandersville, GA</t>
  </si>
  <si>
    <t>Note rec from GRIID</t>
  </si>
  <si>
    <t>CFFI</t>
  </si>
  <si>
    <t>Pmnt for capped call</t>
  </si>
  <si>
    <t>Pmnt on loans</t>
  </si>
  <si>
    <t>Pmnt on loan issuance</t>
  </si>
  <si>
    <t>Pmnt on preferred dividends</t>
  </si>
  <si>
    <t>Pmnt on fin lease</t>
  </si>
  <si>
    <t>Prc from options</t>
  </si>
  <si>
    <t>Prc from equity</t>
  </si>
  <si>
    <t>CFFF</t>
  </si>
  <si>
    <t>CF</t>
  </si>
  <si>
    <t>FCF</t>
  </si>
  <si>
    <t>FCF Margin</t>
  </si>
  <si>
    <t>CapEx Margin</t>
  </si>
  <si>
    <t>FCF YoY</t>
  </si>
  <si>
    <t>Prc from loans pay.</t>
  </si>
  <si>
    <t xml:space="preserve">Pmnt of taxes on shares witheld </t>
  </si>
  <si>
    <t>Total preliminary purchase price was $128,247, including cash ($1), settlement of a $1,164 hosting agreement debt, and $62,636 from a credit agreement, plus $61,472 for prior relationship settlements.</t>
  </si>
  <si>
    <r>
      <t xml:space="preserve">On October 30, 2024 CleanSpark acquired </t>
    </r>
    <r>
      <rPr>
        <b/>
        <sz val="10"/>
        <color theme="1"/>
        <rFont val="Arial"/>
        <family val="2"/>
      </rPr>
      <t>GRIID Infrastructure Inc.</t>
    </r>
    <r>
      <rPr>
        <sz val="10"/>
        <color theme="1"/>
        <rFont val="Arial"/>
        <family val="2"/>
      </rPr>
      <t xml:space="preserve"> via a merger, issuing 5,031,221 shares of its common stock (valued at $12.06 each, totaling $60,677) and 22,803,726 warrants (valued at $6,097) to GRIID shareholders.</t>
    </r>
  </si>
  <si>
    <t>Post-acquisition, GRIID’s revenues were $29,425 (three months) and $64,517 (nine months) ending June 30, 2025. Pro forma revenue for June 30, 2024, was $108,819 (three months) and $305,779 (nine months), with net income/loss varying widely.</t>
  </si>
  <si>
    <t>Shares of CleanSpark Common stock issued</t>
  </si>
  <si>
    <t>Closing price per share</t>
  </si>
  <si>
    <t xml:space="preserve">Warrants </t>
  </si>
  <si>
    <t>Cash consideration</t>
  </si>
  <si>
    <t xml:space="preserve">Settlement of GRID Credit Agree,emt as a portion of prch price </t>
  </si>
  <si>
    <t>Preliminary prch price</t>
  </si>
  <si>
    <t>Prch Of treasury stock</t>
  </si>
  <si>
    <t>Equity portion of prch price</t>
  </si>
  <si>
    <t>Common stock portion of prch price</t>
  </si>
  <si>
    <t>Settlement of amount payable by company to GRID under Hosting Agrmnt</t>
  </si>
  <si>
    <t>($ in millions)</t>
  </si>
  <si>
    <t>Restricted cash</t>
  </si>
  <si>
    <t>A/R</t>
  </si>
  <si>
    <t>Op lease ROU</t>
  </si>
  <si>
    <t>Tangible assets</t>
  </si>
  <si>
    <t>Total</t>
  </si>
  <si>
    <t>Intangible assets</t>
  </si>
  <si>
    <t>Fin lease</t>
  </si>
  <si>
    <t>Op lease L</t>
  </si>
  <si>
    <t xml:space="preserve">Other </t>
  </si>
  <si>
    <t xml:space="preserve">Net </t>
  </si>
  <si>
    <t>GRIID Infrstructure Inc.</t>
  </si>
  <si>
    <t>A hosting agreement with GRIID allowed CleanSpark to use GRIID facilities for mining for one year, renewable for seven six-month terms.</t>
  </si>
  <si>
    <t>Georgia - LaFayette (May 13, 2025)</t>
  </si>
  <si>
    <t>Infrastructure</t>
  </si>
  <si>
    <t>Land</t>
  </si>
  <si>
    <t>Land improvements</t>
  </si>
  <si>
    <t>Buildings</t>
  </si>
  <si>
    <t>Building improvements</t>
  </si>
  <si>
    <t>Georgia - Twin City (January 21, 2025)</t>
  </si>
  <si>
    <t>Leasehold improvements</t>
  </si>
  <si>
    <t>Fin lease L</t>
  </si>
  <si>
    <t>Tennessee (September-October 2024)</t>
  </si>
  <si>
    <t>ROU assets</t>
  </si>
  <si>
    <t>Mississippi - Clinton (September 16, 2024)</t>
  </si>
  <si>
    <t>Construction in progress</t>
  </si>
  <si>
    <t># of BTC</t>
  </si>
  <si>
    <t>Cost per BTC</t>
  </si>
  <si>
    <t>Fair value - BTC</t>
  </si>
  <si>
    <t>Land improvement</t>
  </si>
  <si>
    <t>Building and improvement</t>
  </si>
  <si>
    <t>Miners</t>
  </si>
  <si>
    <t>Mining equipment</t>
  </si>
  <si>
    <t>Machinery and equipment</t>
  </si>
  <si>
    <t>Furniture and fixtures</t>
  </si>
  <si>
    <t>Less: D&amp;A</t>
  </si>
  <si>
    <t>PP&amp;A, net</t>
  </si>
  <si>
    <t>Global hashrate (EH/s)</t>
  </si>
  <si>
    <t>Miner efficiency (w/th)</t>
  </si>
  <si>
    <t>Avg hashrate (EH/s)</t>
  </si>
  <si>
    <t>CleanSpark % of total global hashrate</t>
  </si>
  <si>
    <t>Cost of energy per BTC mined</t>
  </si>
  <si>
    <t>Other direct cost of mining</t>
  </si>
  <si>
    <t>Cost to mine one BTC - Owned facilities</t>
  </si>
  <si>
    <t>Financig cost per BTC</t>
  </si>
  <si>
    <t>Miner D&amp;A per BTC</t>
  </si>
  <si>
    <t>Direct cost per BTC - Owned</t>
  </si>
  <si>
    <t>Avg revenue of each BTC</t>
  </si>
  <si>
    <t>Cost to mine Margin</t>
  </si>
  <si>
    <t>Direct cost Margin</t>
  </si>
  <si>
    <t>Total BTC mined at owned facilities</t>
  </si>
  <si>
    <t>BTC revenue ($ mn)</t>
  </si>
  <si>
    <t>Total miners in service</t>
  </si>
  <si>
    <t>Total energy expense ($ mn)</t>
  </si>
  <si>
    <t>Cost per kWh</t>
  </si>
  <si>
    <t>Energy exp %</t>
  </si>
  <si>
    <t>Other direct costs ($ mn)</t>
  </si>
  <si>
    <t>D&amp;A ($ mn)</t>
  </si>
  <si>
    <t>Accelerated D&amp;A ($ mn)</t>
  </si>
  <si>
    <t>Direc miner financing costs ($ mn)</t>
  </si>
  <si>
    <t>Total kWh utilized (mn)</t>
  </si>
  <si>
    <t>Owned Facilities</t>
  </si>
  <si>
    <t>Hosted Facilities</t>
  </si>
  <si>
    <t>Direct hosting fees per BTC</t>
  </si>
  <si>
    <t>Total cost</t>
  </si>
  <si>
    <t>Total hosting fee ($ mn)</t>
  </si>
  <si>
    <t>Hosting fee per kWh</t>
  </si>
  <si>
    <t>NI</t>
  </si>
  <si>
    <t>Share-based comp.</t>
  </si>
  <si>
    <t>Derivative securities</t>
  </si>
  <si>
    <t>Imt Inc</t>
  </si>
  <si>
    <t>Other Inc</t>
  </si>
  <si>
    <t>Financing fees</t>
  </si>
  <si>
    <t>Litigation &amp; settlements related</t>
  </si>
  <si>
    <t xml:space="preserve">Severance </t>
  </si>
  <si>
    <t>Non-GAAP Adj EBITDA</t>
  </si>
  <si>
    <t>CapEx</t>
  </si>
  <si>
    <t>`</t>
  </si>
  <si>
    <t>YoY</t>
  </si>
  <si>
    <t>Margin</t>
  </si>
  <si>
    <t>Asset QoQ</t>
  </si>
  <si>
    <t>PP&amp;A QoQ</t>
  </si>
  <si>
    <t>Georgia</t>
  </si>
  <si>
    <t>Mississippi</t>
  </si>
  <si>
    <t>New York</t>
  </si>
  <si>
    <t>Tennessee</t>
  </si>
  <si>
    <t>MW Op Capacity</t>
  </si>
  <si>
    <t>EH/s Op</t>
  </si>
  <si>
    <t># of mining locations</t>
  </si>
  <si>
    <t>Op Hashrate (EH/s)</t>
  </si>
  <si>
    <t>Bitcoin Holdings</t>
  </si>
  <si>
    <t>Peak Fleet Efficiency (J/Th)</t>
  </si>
  <si>
    <t>Monthly Production</t>
  </si>
  <si>
    <t>GW under Contract</t>
  </si>
  <si>
    <t>CleanSpark College Park</t>
  </si>
  <si>
    <t>2380 Godby Rd 30349 College Park Georgia, USA</t>
  </si>
  <si>
    <t>Fully Built-Out Power: 47 MW</t>
  </si>
  <si>
    <t>Fully Built-Out Whitespace: 16,000 sq.f.</t>
  </si>
  <si>
    <t>Total Building Size:48,000 sq.f.</t>
  </si>
  <si>
    <t>1)</t>
  </si>
  <si>
    <t>2)</t>
  </si>
  <si>
    <t>CleanSpark Norcross</t>
  </si>
  <si>
    <t>5295 Brook Hollow Pkwy 30071 Norcross Georgia, USA</t>
  </si>
  <si>
    <t>Fully Built-Out Power: 20 MW</t>
  </si>
  <si>
    <t>Fully Built-Out Whitespace: 87000 sq.f.</t>
  </si>
  <si>
    <t>3)</t>
  </si>
  <si>
    <t>CleanSpark Dalton 1</t>
  </si>
  <si>
    <t>1022 Enterprise Dr 30721 Dalton Georgia, USA</t>
  </si>
  <si>
    <t>Capacity: 15 MW</t>
  </si>
  <si>
    <t>4)</t>
  </si>
  <si>
    <t>CleanSpark Dalton 2</t>
  </si>
  <si>
    <t>1850 Abutment Rd 30721 Dalton Georgia, USA</t>
  </si>
  <si>
    <t xml:space="preserve">Capacity: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</si>
</sst>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00"/>
    <numFmt numFmtId="166" formatCode="0.000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164" fontId="4" fillId="0" borderId="0" xfId="0" applyNumberFormat="1" applyFont="1"/>
    <xf numFmtId="164" fontId="5" fillId="0" borderId="0" xfId="0" applyNumberFormat="1" applyFont="1"/>
    <xf numFmtId="4" fontId="5" fillId="0" borderId="0" xfId="0" applyNumberFormat="1" applyFont="1"/>
    <xf numFmtId="15" fontId="4" fillId="0" borderId="0" xfId="0" applyNumberFormat="1" applyFont="1"/>
    <xf numFmtId="10" fontId="4" fillId="0" borderId="0" xfId="0" applyNumberFormat="1" applyFont="1"/>
    <xf numFmtId="0" fontId="3" fillId="0" borderId="0" xfId="0" applyFont="1"/>
    <xf numFmtId="164" fontId="3" fillId="0" borderId="0" xfId="0" applyNumberFormat="1" applyFont="1"/>
    <xf numFmtId="4" fontId="3" fillId="0" borderId="0" xfId="0" applyNumberFormat="1" applyFont="1"/>
    <xf numFmtId="4" fontId="4" fillId="0" borderId="0" xfId="0" applyNumberFormat="1" applyFont="1"/>
    <xf numFmtId="165" fontId="5" fillId="0" borderId="0" xfId="0" applyNumberFormat="1" applyFont="1"/>
    <xf numFmtId="165" fontId="3" fillId="0" borderId="0" xfId="0" applyNumberFormat="1" applyFont="1"/>
    <xf numFmtId="0" fontId="8" fillId="0" borderId="0" xfId="0" applyFont="1"/>
    <xf numFmtId="4" fontId="8" fillId="0" borderId="0" xfId="0" applyNumberFormat="1" applyFont="1"/>
    <xf numFmtId="164" fontId="7" fillId="0" borderId="0" xfId="1" applyNumberFormat="1"/>
    <xf numFmtId="166" fontId="3" fillId="0" borderId="0" xfId="0" applyNumberFormat="1" applyFont="1"/>
    <xf numFmtId="166" fontId="5" fillId="0" borderId="0" xfId="0" applyNumberFormat="1" applyFont="1"/>
    <xf numFmtId="3" fontId="3" fillId="0" borderId="0" xfId="0" applyNumberFormat="1" applyFont="1"/>
    <xf numFmtId="3" fontId="4" fillId="0" borderId="0" xfId="0" applyNumberFormat="1" applyFont="1"/>
    <xf numFmtId="0" fontId="9" fillId="0" borderId="0" xfId="0" applyFont="1"/>
    <xf numFmtId="10" fontId="3" fillId="0" borderId="0" xfId="0" applyNumberFormat="1" applyFont="1"/>
    <xf numFmtId="3" fontId="5" fillId="0" borderId="0" xfId="0" applyNumberFormat="1" applyFont="1"/>
    <xf numFmtId="165" fontId="4" fillId="0" borderId="0" xfId="0" applyNumberFormat="1" applyFont="1"/>
    <xf numFmtId="9" fontId="3" fillId="0" borderId="0" xfId="0" applyNumberFormat="1" applyFont="1"/>
    <xf numFmtId="9" fontId="4" fillId="0" borderId="0" xfId="0" applyNumberFormat="1" applyFont="1"/>
    <xf numFmtId="0" fontId="3" fillId="0" borderId="12" xfId="0" applyFont="1" applyBorder="1"/>
    <xf numFmtId="0" fontId="3" fillId="0" borderId="14" xfId="0" applyFont="1" applyBorder="1"/>
    <xf numFmtId="0" fontId="5" fillId="0" borderId="13" xfId="0" applyFont="1" applyBorder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5" xfId="0" applyFont="1" applyBorder="1" applyAlignment="1">
      <alignment horizontal="center"/>
    </xf>
    <xf numFmtId="3" fontId="5" fillId="0" borderId="6" xfId="0" applyNumberFormat="1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5" fontId="3" fillId="0" borderId="0" xfId="0" applyNumberFormat="1" applyFont="1"/>
    <xf numFmtId="0" fontId="2" fillId="0" borderId="0" xfId="0" applyFont="1"/>
    <xf numFmtId="15" fontId="2" fillId="0" borderId="0" xfId="0" applyNumberFormat="1" applyFont="1"/>
    <xf numFmtId="0" fontId="2" fillId="0" borderId="1" xfId="0" applyFont="1" applyBorder="1"/>
    <xf numFmtId="164" fontId="4" fillId="0" borderId="3" xfId="0" applyNumberFormat="1" applyFont="1" applyBorder="1"/>
    <xf numFmtId="0" fontId="2" fillId="0" borderId="4" xfId="0" applyFont="1" applyBorder="1"/>
    <xf numFmtId="3" fontId="4" fillId="0" borderId="5" xfId="0" applyNumberFormat="1" applyFont="1" applyBorder="1"/>
    <xf numFmtId="4" fontId="4" fillId="0" borderId="5" xfId="0" applyNumberFormat="1" applyFont="1" applyBorder="1"/>
    <xf numFmtId="0" fontId="2" fillId="0" borderId="6" xfId="0" applyFont="1" applyBorder="1"/>
    <xf numFmtId="4" fontId="4" fillId="0" borderId="8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525780</xdr:colOff>
      <xdr:row>3</xdr:row>
      <xdr:rowOff>7620</xdr:rowOff>
    </xdr:from>
    <xdr:to>
      <xdr:col>14</xdr:col>
      <xdr:colOff>62667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0E093A-1784-512C-BE80-D4BF96686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0480" y="525780"/>
          <a:ext cx="1365687" cy="838200"/>
        </a:xfrm>
        <a:prstGeom prst="rect">
          <a:avLst/>
        </a:prstGeom>
      </xdr:spPr>
    </xdr:pic>
    <xdr:clientData/>
  </xdr:twoCellAnchor>
  <xdr:twoCellAnchor editAs="oneCell">
    <xdr:from>
      <xdr:col>12</xdr:col>
      <xdr:colOff>83820</xdr:colOff>
      <xdr:row>8</xdr:row>
      <xdr:rowOff>166822</xdr:rowOff>
    </xdr:from>
    <xdr:to>
      <xdr:col>13</xdr:col>
      <xdr:colOff>586740</xdr:colOff>
      <xdr:row>13</xdr:row>
      <xdr:rowOff>98343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8D6309-0EF5-C311-6747-19B9D32FA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27720" y="1530802"/>
          <a:ext cx="1112520" cy="769721"/>
        </a:xfrm>
        <a:prstGeom prst="rect">
          <a:avLst/>
        </a:prstGeom>
      </xdr:spPr>
    </xdr:pic>
    <xdr:clientData/>
  </xdr:twoCellAnchor>
  <xdr:twoCellAnchor editAs="oneCell">
    <xdr:from>
      <xdr:col>12</xdr:col>
      <xdr:colOff>83821</xdr:colOff>
      <xdr:row>13</xdr:row>
      <xdr:rowOff>113377</xdr:rowOff>
    </xdr:from>
    <xdr:to>
      <xdr:col>13</xdr:col>
      <xdr:colOff>510541</xdr:colOff>
      <xdr:row>18</xdr:row>
      <xdr:rowOff>21817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0208BF0-07E3-338D-7359-C0D890CE4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27721" y="2315557"/>
          <a:ext cx="1036320" cy="74664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15241</xdr:colOff>
      <xdr:row>18</xdr:row>
      <xdr:rowOff>30480</xdr:rowOff>
    </xdr:from>
    <xdr:to>
      <xdr:col>13</xdr:col>
      <xdr:colOff>586741</xdr:colOff>
      <xdr:row>22</xdr:row>
      <xdr:rowOff>87229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5C17B1-6C12-413A-8392-2A346071C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59141" y="3070860"/>
          <a:ext cx="1181100" cy="7273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Data%20Centers.xlsx" TargetMode="External"/><Relationship Id="rId1" Type="http://schemas.openxmlformats.org/officeDocument/2006/relationships/externalLinkPath" Target="Data%20Cent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7:O14"/>
  <sheetViews>
    <sheetView tabSelected="1" topLeftCell="D1" workbookViewId="0">
      <selection activeCell="I9" sqref="I9"/>
    </sheetView>
  </sheetViews>
  <sheetFormatPr defaultRowHeight="13.2" x14ac:dyDescent="0.25"/>
  <cols>
    <col min="1" max="13" width="8.88671875" style="1"/>
    <col min="14" max="14" width="24.109375" style="1" bestFit="1" customWidth="1"/>
    <col min="15" max="15" width="9.109375" style="1" bestFit="1" customWidth="1"/>
    <col min="16" max="16384" width="8.88671875" style="1"/>
  </cols>
  <sheetData>
    <row r="7" spans="9:15" ht="13.8" thickBot="1" x14ac:dyDescent="0.3">
      <c r="N7" s="44">
        <v>45900</v>
      </c>
    </row>
    <row r="8" spans="9:15" x14ac:dyDescent="0.25">
      <c r="I8" s="1" t="s">
        <v>0</v>
      </c>
      <c r="J8" s="11">
        <f>+[1]Main!$D$11</f>
        <v>0</v>
      </c>
      <c r="N8" s="45" t="s">
        <v>226</v>
      </c>
      <c r="O8" s="46">
        <v>50</v>
      </c>
    </row>
    <row r="9" spans="9:15" x14ac:dyDescent="0.25">
      <c r="I9" s="1" t="s">
        <v>1</v>
      </c>
      <c r="J9" s="3">
        <f>+Model!K23</f>
        <v>280.99764900000002</v>
      </c>
      <c r="K9" s="1" t="s">
        <v>7</v>
      </c>
      <c r="N9" s="47" t="s">
        <v>227</v>
      </c>
      <c r="O9" s="48">
        <v>12827</v>
      </c>
    </row>
    <row r="10" spans="9:15" x14ac:dyDescent="0.25">
      <c r="I10" s="1" t="s">
        <v>2</v>
      </c>
      <c r="J10" s="3">
        <f>+J8*J9</f>
        <v>0</v>
      </c>
      <c r="N10" s="47" t="s">
        <v>228</v>
      </c>
      <c r="O10" s="49">
        <v>16.07</v>
      </c>
    </row>
    <row r="11" spans="9:15" x14ac:dyDescent="0.25">
      <c r="I11" s="1" t="s">
        <v>3</v>
      </c>
      <c r="J11" s="3">
        <f>+Model!K40</f>
        <v>34.552999999999997</v>
      </c>
      <c r="K11" s="1" t="s">
        <v>7</v>
      </c>
      <c r="N11" s="47" t="s">
        <v>229</v>
      </c>
      <c r="O11" s="48">
        <v>657</v>
      </c>
    </row>
    <row r="12" spans="9:15" ht="13.8" thickBot="1" x14ac:dyDescent="0.3">
      <c r="I12" s="1" t="s">
        <v>4</v>
      </c>
      <c r="J12" s="3">
        <f>+Model!K59+Model!K61</f>
        <v>820.33699999999999</v>
      </c>
      <c r="K12" s="1" t="s">
        <v>7</v>
      </c>
      <c r="N12" s="50" t="s">
        <v>230</v>
      </c>
      <c r="O12" s="51">
        <v>1.03</v>
      </c>
    </row>
    <row r="13" spans="9:15" x14ac:dyDescent="0.25">
      <c r="J13" s="3"/>
    </row>
    <row r="14" spans="9:15" x14ac:dyDescent="0.25">
      <c r="I14" s="1" t="s">
        <v>5</v>
      </c>
      <c r="J14" s="3">
        <f>+J10-J11+J12</f>
        <v>785.78399999999999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84DBC-DA4E-4ECE-8922-EB3FD31B6D94}">
  <dimension ref="B1:Z220"/>
  <sheetViews>
    <sheetView zoomScale="73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223" sqref="F223"/>
    </sheetView>
  </sheetViews>
  <sheetFormatPr defaultRowHeight="13.2" x14ac:dyDescent="0.25"/>
  <cols>
    <col min="1" max="1" width="8.88671875" style="1"/>
    <col min="2" max="2" width="17.5546875" style="1" customWidth="1"/>
    <col min="3" max="10" width="8.88671875" style="1"/>
    <col min="11" max="11" width="9.88671875" style="1" customWidth="1"/>
    <col min="12" max="22" width="8.88671875" style="1"/>
    <col min="23" max="23" width="9.77734375" style="1" bestFit="1" customWidth="1"/>
    <col min="24" max="16384" width="8.88671875" style="1"/>
  </cols>
  <sheetData>
    <row r="1" spans="2:25" x14ac:dyDescent="0.25">
      <c r="K1" s="6">
        <v>45838</v>
      </c>
    </row>
    <row r="2" spans="2:25" x14ac:dyDescent="0.25"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U2" s="1">
        <v>2022</v>
      </c>
      <c r="V2" s="1">
        <v>2023</v>
      </c>
      <c r="W2" s="1">
        <v>2024</v>
      </c>
      <c r="X2" s="1">
        <v>2025</v>
      </c>
      <c r="Y2" s="1">
        <v>2026</v>
      </c>
    </row>
    <row r="3" spans="2:25" s="3" customFormat="1" x14ac:dyDescent="0.25">
      <c r="B3" s="3" t="s">
        <v>16</v>
      </c>
      <c r="E3" s="3">
        <v>73.786000000000001</v>
      </c>
      <c r="F3" s="3">
        <v>111.79900000000001</v>
      </c>
      <c r="G3" s="3">
        <v>104.108</v>
      </c>
      <c r="H3" s="3">
        <v>89.275000000000006</v>
      </c>
      <c r="I3" s="3">
        <v>162.30600000000001</v>
      </c>
      <c r="J3" s="3">
        <v>181.71199999999999</v>
      </c>
      <c r="K3" s="3">
        <v>198.64400000000001</v>
      </c>
      <c r="U3" s="3">
        <v>131.52500000000001</v>
      </c>
      <c r="V3" s="3">
        <f>168.121+0.287</f>
        <v>168.40800000000002</v>
      </c>
      <c r="W3" s="3">
        <v>378.96800000000002</v>
      </c>
      <c r="X3" s="3">
        <f>+L3+K3+J3+I3</f>
        <v>542.66200000000003</v>
      </c>
    </row>
    <row r="4" spans="2:25" s="3" customFormat="1" x14ac:dyDescent="0.25">
      <c r="B4" s="3" t="s">
        <v>17</v>
      </c>
      <c r="E4" s="3">
        <v>28.896000000000001</v>
      </c>
      <c r="F4" s="3">
        <v>34.298000000000002</v>
      </c>
      <c r="G4" s="3">
        <v>45.18</v>
      </c>
      <c r="H4" s="3">
        <v>57.141999999999982</v>
      </c>
      <c r="I4" s="3">
        <v>70.290000000000006</v>
      </c>
      <c r="J4" s="3">
        <v>85.424000000000007</v>
      </c>
      <c r="K4" s="3">
        <v>90.128</v>
      </c>
      <c r="U4" s="3">
        <v>41.234000000000002</v>
      </c>
      <c r="V4" s="3">
        <v>93.85</v>
      </c>
      <c r="W4" s="3">
        <v>165.51599999999999</v>
      </c>
      <c r="X4" s="3">
        <f t="shared" ref="X4" si="0">+L4+K4+J4+I4</f>
        <v>245.84200000000004</v>
      </c>
    </row>
    <row r="5" spans="2:25" s="4" customFormat="1" x14ac:dyDescent="0.25">
      <c r="B5" s="4" t="s">
        <v>18</v>
      </c>
      <c r="C5" s="4">
        <f t="shared" ref="C5:J5" si="1">+C3-C4</f>
        <v>0</v>
      </c>
      <c r="D5" s="4">
        <f t="shared" si="1"/>
        <v>0</v>
      </c>
      <c r="E5" s="4">
        <f t="shared" si="1"/>
        <v>44.89</v>
      </c>
      <c r="F5" s="4">
        <f t="shared" si="1"/>
        <v>77.501000000000005</v>
      </c>
      <c r="G5" s="4">
        <f t="shared" si="1"/>
        <v>58.928000000000004</v>
      </c>
      <c r="H5" s="4">
        <f t="shared" si="1"/>
        <v>32.133000000000024</v>
      </c>
      <c r="I5" s="4">
        <f t="shared" si="1"/>
        <v>92.016000000000005</v>
      </c>
      <c r="J5" s="4">
        <f t="shared" si="1"/>
        <v>96.287999999999982</v>
      </c>
      <c r="K5" s="4">
        <f>+K3-K4</f>
        <v>108.51600000000001</v>
      </c>
      <c r="L5" s="4">
        <f t="shared" ref="L5:O5" si="2">+L3-L4</f>
        <v>0</v>
      </c>
      <c r="M5" s="4">
        <f t="shared" si="2"/>
        <v>0</v>
      </c>
      <c r="N5" s="4">
        <f t="shared" si="2"/>
        <v>0</v>
      </c>
      <c r="O5" s="4">
        <f t="shared" si="2"/>
        <v>0</v>
      </c>
      <c r="Q5" s="3"/>
      <c r="U5" s="4">
        <f t="shared" ref="U5:Y5" si="3">+U3-U4</f>
        <v>90.290999999999997</v>
      </c>
      <c r="V5" s="4">
        <f t="shared" si="3"/>
        <v>74.558000000000021</v>
      </c>
      <c r="W5" s="4">
        <f t="shared" si="3"/>
        <v>213.45200000000003</v>
      </c>
      <c r="X5" s="4">
        <f t="shared" si="3"/>
        <v>296.82</v>
      </c>
      <c r="Y5" s="4">
        <f t="shared" si="3"/>
        <v>0</v>
      </c>
    </row>
    <row r="6" spans="2:25" s="3" customFormat="1" x14ac:dyDescent="0.25">
      <c r="B6" s="3" t="s">
        <v>19</v>
      </c>
      <c r="E6" s="3">
        <v>1.5720000000000001</v>
      </c>
      <c r="F6" s="3">
        <v>2.2080000000000002</v>
      </c>
      <c r="G6" s="3">
        <v>4.3680000000000003</v>
      </c>
      <c r="H6" s="3">
        <v>5.6579999999999986</v>
      </c>
      <c r="I6" s="3">
        <v>3.8849999999999998</v>
      </c>
      <c r="J6" s="3">
        <v>2.9830000000000001</v>
      </c>
      <c r="K6" s="3">
        <v>3</v>
      </c>
      <c r="U6" s="3">
        <v>6.4690000000000003</v>
      </c>
      <c r="V6" s="3">
        <v>10.869</v>
      </c>
      <c r="W6" s="3">
        <v>13.805999999999999</v>
      </c>
      <c r="X6" s="3">
        <f t="shared" ref="X6:X12" si="4">+L6+K6+J6+I6</f>
        <v>9.8680000000000003</v>
      </c>
    </row>
    <row r="7" spans="2:25" s="3" customFormat="1" x14ac:dyDescent="0.25">
      <c r="B7" s="3" t="s">
        <v>20</v>
      </c>
      <c r="E7" s="3">
        <v>15.321</v>
      </c>
      <c r="F7" s="3">
        <v>16.82</v>
      </c>
      <c r="G7" s="3">
        <v>17.149999999999999</v>
      </c>
      <c r="H7" s="3">
        <v>24.804000000000002</v>
      </c>
      <c r="I7" s="3">
        <v>20.869</v>
      </c>
      <c r="J7" s="3">
        <v>15.255000000000001</v>
      </c>
      <c r="K7" s="3">
        <v>16.399999999999999</v>
      </c>
      <c r="U7" s="3">
        <v>40.92</v>
      </c>
      <c r="V7" s="3">
        <v>45.713999999999999</v>
      </c>
      <c r="W7" s="3">
        <v>74.094999999999999</v>
      </c>
      <c r="X7" s="3">
        <f t="shared" si="4"/>
        <v>52.524000000000001</v>
      </c>
    </row>
    <row r="8" spans="2:25" s="3" customFormat="1" x14ac:dyDescent="0.25">
      <c r="B8" s="3" t="s">
        <v>21</v>
      </c>
      <c r="E8" s="3">
        <v>5</v>
      </c>
      <c r="F8" s="3">
        <v>6.819</v>
      </c>
      <c r="G8" s="3">
        <v>8.2349999999999994</v>
      </c>
      <c r="H8" s="3">
        <v>10.131</v>
      </c>
      <c r="I8" s="3">
        <v>10.054</v>
      </c>
      <c r="J8" s="3">
        <v>11.736000000000001</v>
      </c>
      <c r="K8" s="3">
        <v>16.565999999999999</v>
      </c>
      <c r="U8" s="3">
        <v>10.423</v>
      </c>
      <c r="V8" s="3">
        <v>20.823</v>
      </c>
      <c r="W8" s="3">
        <v>30.184999999999999</v>
      </c>
      <c r="X8" s="3">
        <f t="shared" si="4"/>
        <v>38.356000000000002</v>
      </c>
    </row>
    <row r="9" spans="2:25" s="3" customFormat="1" x14ac:dyDescent="0.25">
      <c r="B9" s="3" t="s">
        <v>22</v>
      </c>
      <c r="E9" s="3">
        <v>0.67700000000000005</v>
      </c>
      <c r="F9" s="3">
        <v>1.6519999999999999</v>
      </c>
      <c r="G9" s="3">
        <v>-4.7E-2</v>
      </c>
      <c r="H9" s="3">
        <v>3.1839999999999997</v>
      </c>
      <c r="I9" s="3">
        <v>-0.79100000000000004</v>
      </c>
      <c r="J9" s="3">
        <v>-2.23</v>
      </c>
      <c r="K9" s="3">
        <v>0.156</v>
      </c>
      <c r="U9" s="3">
        <v>-0.64300000000000002</v>
      </c>
      <c r="V9" s="3">
        <v>1.931</v>
      </c>
      <c r="W9" s="3">
        <v>5.4660000000000002</v>
      </c>
      <c r="X9" s="3">
        <f t="shared" si="4"/>
        <v>-2.8649999999999998</v>
      </c>
    </row>
    <row r="10" spans="2:25" s="3" customFormat="1" x14ac:dyDescent="0.25">
      <c r="B10" s="3" t="s">
        <v>23</v>
      </c>
      <c r="E10" s="3">
        <v>-36.040999999999997</v>
      </c>
      <c r="F10" s="3">
        <v>-119.702</v>
      </c>
      <c r="G10" s="3">
        <v>48.338000000000001</v>
      </c>
      <c r="H10" s="3">
        <v>-6.0180000000000007</v>
      </c>
      <c r="I10" s="3">
        <v>-218.20599999999999</v>
      </c>
      <c r="J10" s="3">
        <v>127.667</v>
      </c>
      <c r="K10" s="3">
        <v>-268.65100000000001</v>
      </c>
      <c r="U10" s="3">
        <v>-2.5670000000000002</v>
      </c>
      <c r="V10" s="3">
        <v>-1.357</v>
      </c>
      <c r="W10" s="3">
        <v>-113.423</v>
      </c>
      <c r="X10" s="3">
        <f t="shared" si="4"/>
        <v>-359.19</v>
      </c>
    </row>
    <row r="11" spans="2:25" s="3" customFormat="1" x14ac:dyDescent="0.25">
      <c r="B11" s="3" t="s">
        <v>24</v>
      </c>
      <c r="F11" s="3">
        <v>0.39600000000000002</v>
      </c>
      <c r="G11" s="3">
        <v>189.23500000000001</v>
      </c>
      <c r="H11" s="3">
        <v>8.1259999999999906</v>
      </c>
      <c r="K11" s="3">
        <v>0</v>
      </c>
      <c r="U11" s="3">
        <f>12.21+0.25+12.048</f>
        <v>24.508000000000003</v>
      </c>
      <c r="V11" s="3">
        <v>7.1630000000000003</v>
      </c>
      <c r="W11" s="3">
        <f>197.041+0.716</f>
        <v>197.75700000000001</v>
      </c>
      <c r="X11" s="3">
        <f t="shared" si="4"/>
        <v>0</v>
      </c>
    </row>
    <row r="12" spans="2:25" s="3" customFormat="1" x14ac:dyDescent="0.25">
      <c r="B12" s="3" t="s">
        <v>25</v>
      </c>
      <c r="E12" s="3">
        <v>29.847000000000001</v>
      </c>
      <c r="F12" s="3">
        <v>32.186999999999998</v>
      </c>
      <c r="G12" s="3">
        <v>40.726999999999997</v>
      </c>
      <c r="H12" s="3">
        <v>51.848000000000006</v>
      </c>
      <c r="I12" s="3">
        <v>66.228999999999999</v>
      </c>
      <c r="J12" s="3">
        <v>78.900000000000006</v>
      </c>
      <c r="K12" s="3">
        <v>94.88</v>
      </c>
      <c r="U12" s="3">
        <v>49.045000000000002</v>
      </c>
      <c r="V12" s="3">
        <v>120.72799999999999</v>
      </c>
      <c r="W12" s="3">
        <v>154.60900000000001</v>
      </c>
      <c r="X12" s="3">
        <f t="shared" si="4"/>
        <v>240.00900000000001</v>
      </c>
    </row>
    <row r="13" spans="2:25" s="4" customFormat="1" x14ac:dyDescent="0.25">
      <c r="B13" s="4" t="s">
        <v>26</v>
      </c>
      <c r="C13" s="4">
        <f t="shared" ref="C13:J13" si="5">-SUM(C6:C12)</f>
        <v>0</v>
      </c>
      <c r="D13" s="4">
        <f t="shared" si="5"/>
        <v>0</v>
      </c>
      <c r="E13" s="4">
        <f t="shared" si="5"/>
        <v>-16.376000000000005</v>
      </c>
      <c r="F13" s="4">
        <f t="shared" si="5"/>
        <v>59.620000000000005</v>
      </c>
      <c r="G13" s="4">
        <f t="shared" si="5"/>
        <v>-308.00599999999997</v>
      </c>
      <c r="H13" s="4">
        <f t="shared" si="5"/>
        <v>-97.733000000000004</v>
      </c>
      <c r="I13" s="4">
        <f t="shared" si="5"/>
        <v>117.96</v>
      </c>
      <c r="J13" s="4">
        <f t="shared" si="5"/>
        <v>-234.31100000000001</v>
      </c>
      <c r="K13" s="4">
        <f>-SUM(K6:K12)</f>
        <v>137.64900000000003</v>
      </c>
      <c r="L13" s="4">
        <f t="shared" ref="L13:O13" si="6">-SUM(L6:L12)</f>
        <v>0</v>
      </c>
      <c r="M13" s="4">
        <f t="shared" si="6"/>
        <v>0</v>
      </c>
      <c r="N13" s="4">
        <f t="shared" si="6"/>
        <v>0</v>
      </c>
      <c r="O13" s="4">
        <f t="shared" si="6"/>
        <v>0</v>
      </c>
      <c r="Q13" s="3"/>
      <c r="U13" s="4">
        <f t="shared" ref="U13:Y13" si="7">-SUM(U6:U12)</f>
        <v>-128.15500000000003</v>
      </c>
      <c r="V13" s="4">
        <f t="shared" si="7"/>
        <v>-205.87099999999998</v>
      </c>
      <c r="W13" s="4">
        <f t="shared" si="7"/>
        <v>-362.495</v>
      </c>
      <c r="X13" s="4">
        <f t="shared" si="7"/>
        <v>21.298000000000002</v>
      </c>
      <c r="Y13" s="4">
        <f t="shared" si="7"/>
        <v>0</v>
      </c>
    </row>
    <row r="14" spans="2:25" s="4" customFormat="1" x14ac:dyDescent="0.25">
      <c r="B14" s="4" t="s">
        <v>27</v>
      </c>
      <c r="C14" s="4">
        <f t="shared" ref="C14:J14" si="8">C5+C13</f>
        <v>0</v>
      </c>
      <c r="D14" s="4">
        <f t="shared" si="8"/>
        <v>0</v>
      </c>
      <c r="E14" s="4">
        <f t="shared" si="8"/>
        <v>28.513999999999996</v>
      </c>
      <c r="F14" s="4">
        <f t="shared" si="8"/>
        <v>137.12100000000001</v>
      </c>
      <c r="G14" s="4">
        <f t="shared" si="8"/>
        <v>-249.07799999999997</v>
      </c>
      <c r="H14" s="4">
        <f t="shared" si="8"/>
        <v>-65.59999999999998</v>
      </c>
      <c r="I14" s="4">
        <f t="shared" si="8"/>
        <v>209.976</v>
      </c>
      <c r="J14" s="4">
        <f t="shared" si="8"/>
        <v>-138.02300000000002</v>
      </c>
      <c r="K14" s="4">
        <f>K5+K13</f>
        <v>246.16500000000002</v>
      </c>
      <c r="L14" s="4">
        <f t="shared" ref="L14:O14" si="9">L5+L13</f>
        <v>0</v>
      </c>
      <c r="M14" s="4">
        <f t="shared" si="9"/>
        <v>0</v>
      </c>
      <c r="N14" s="4">
        <f t="shared" si="9"/>
        <v>0</v>
      </c>
      <c r="O14" s="4">
        <f t="shared" si="9"/>
        <v>0</v>
      </c>
      <c r="Q14" s="3"/>
      <c r="U14" s="4">
        <f t="shared" ref="U14:Y14" si="10">U5+U13</f>
        <v>-37.864000000000033</v>
      </c>
      <c r="V14" s="4">
        <f t="shared" si="10"/>
        <v>-131.31299999999996</v>
      </c>
      <c r="W14" s="4">
        <f t="shared" si="10"/>
        <v>-149.04299999999998</v>
      </c>
      <c r="X14" s="4">
        <f t="shared" si="10"/>
        <v>318.11799999999999</v>
      </c>
      <c r="Y14" s="4">
        <f t="shared" si="10"/>
        <v>0</v>
      </c>
    </row>
    <row r="15" spans="2:25" s="3" customFormat="1" x14ac:dyDescent="0.25">
      <c r="B15" s="3" t="s">
        <v>28</v>
      </c>
      <c r="H15" s="3">
        <v>1.3839999999999999</v>
      </c>
      <c r="I15" s="3">
        <v>42.493000000000002</v>
      </c>
      <c r="K15" s="3">
        <v>31.353999999999999</v>
      </c>
      <c r="W15" s="3">
        <v>1.3839999999999999</v>
      </c>
      <c r="X15" s="3">
        <f t="shared" ref="X15:X19" si="11">+L15+K15+J15+I15</f>
        <v>73.847000000000008</v>
      </c>
    </row>
    <row r="16" spans="2:25" s="3" customFormat="1" x14ac:dyDescent="0.25">
      <c r="B16" s="3" t="s">
        <v>29</v>
      </c>
      <c r="E16" s="3">
        <v>-1.2430000000000001</v>
      </c>
      <c r="F16" s="3">
        <v>-0.94899999999999995</v>
      </c>
      <c r="G16" s="3">
        <v>1.1879999999999999</v>
      </c>
      <c r="H16" s="3">
        <v>1.004</v>
      </c>
      <c r="I16" s="3">
        <v>3.6219999999999999</v>
      </c>
      <c r="J16" s="3">
        <v>-4.7409999999999997</v>
      </c>
      <c r="K16" s="3">
        <v>-0.43</v>
      </c>
      <c r="U16" s="3">
        <v>0.30599999999999999</v>
      </c>
      <c r="V16" s="3">
        <v>2.484</v>
      </c>
      <c r="X16" s="3">
        <f t="shared" si="11"/>
        <v>-1.5489999999999995</v>
      </c>
    </row>
    <row r="17" spans="2:25" s="3" customFormat="1" x14ac:dyDescent="0.25">
      <c r="B17" s="3" t="s">
        <v>30</v>
      </c>
      <c r="E17" s="3">
        <v>0.58599999999999997</v>
      </c>
      <c r="F17" s="3">
        <v>2.6840000000000002</v>
      </c>
      <c r="G17" s="3">
        <v>2.6379999999999999</v>
      </c>
      <c r="H17" s="3">
        <v>2.6469999999999998</v>
      </c>
      <c r="I17" s="3">
        <v>1.476</v>
      </c>
      <c r="J17" s="3">
        <v>2.0139999999999998</v>
      </c>
      <c r="K17" s="3">
        <v>0.35499999999999998</v>
      </c>
      <c r="U17" s="3">
        <v>0.19</v>
      </c>
      <c r="V17" s="3">
        <v>0.48099999999999998</v>
      </c>
      <c r="W17" s="3">
        <v>8.5549999999999997</v>
      </c>
      <c r="X17" s="3">
        <f t="shared" si="11"/>
        <v>3.8449999999999998</v>
      </c>
    </row>
    <row r="18" spans="2:25" s="3" customFormat="1" x14ac:dyDescent="0.25">
      <c r="B18" s="3" t="s">
        <v>31</v>
      </c>
      <c r="E18" s="3">
        <v>-0.54600000000000004</v>
      </c>
      <c r="F18" s="3">
        <v>-0.52600000000000002</v>
      </c>
      <c r="G18" s="3">
        <v>-0.48499999999999999</v>
      </c>
      <c r="H18" s="3">
        <v>-0.89800000000000013</v>
      </c>
      <c r="I18" s="3">
        <v>-1.5589999999999999</v>
      </c>
      <c r="J18" s="3">
        <v>-1.2669999999999999</v>
      </c>
      <c r="K18" s="3">
        <v>-3.4540000000000002</v>
      </c>
      <c r="U18" s="3">
        <v>-1.0780000000000001</v>
      </c>
      <c r="V18" s="3">
        <v>-2.9769999999999999</v>
      </c>
      <c r="W18" s="3">
        <v>-2.4550000000000001</v>
      </c>
      <c r="X18" s="3">
        <f t="shared" si="11"/>
        <v>-6.28</v>
      </c>
    </row>
    <row r="19" spans="2:25" s="3" customFormat="1" x14ac:dyDescent="0.25">
      <c r="B19" s="3" t="s">
        <v>32</v>
      </c>
      <c r="H19" s="3">
        <v>-0.874</v>
      </c>
      <c r="J19" s="3">
        <v>0.183</v>
      </c>
      <c r="K19" s="3">
        <v>1.5089999999999999</v>
      </c>
      <c r="U19" s="3">
        <f>0.308-1.95</f>
        <v>-1.6419999999999999</v>
      </c>
      <c r="V19" s="3">
        <f>0.011-0.259</f>
        <v>-0.248</v>
      </c>
      <c r="W19" s="3">
        <f>-0.965+0.091</f>
        <v>-0.874</v>
      </c>
      <c r="X19" s="3">
        <f t="shared" si="11"/>
        <v>1.6919999999999999</v>
      </c>
    </row>
    <row r="20" spans="2:25" s="4" customFormat="1" x14ac:dyDescent="0.25">
      <c r="B20" s="4" t="s">
        <v>33</v>
      </c>
      <c r="C20" s="4">
        <f t="shared" ref="C20:J20" si="12">C14+SUM(C15:C19)</f>
        <v>0</v>
      </c>
      <c r="D20" s="4">
        <f t="shared" si="12"/>
        <v>0</v>
      </c>
      <c r="E20" s="4">
        <f t="shared" si="12"/>
        <v>27.310999999999996</v>
      </c>
      <c r="F20" s="4">
        <f t="shared" si="12"/>
        <v>138.33000000000001</v>
      </c>
      <c r="G20" s="4">
        <f t="shared" si="12"/>
        <v>-245.73699999999997</v>
      </c>
      <c r="H20" s="4">
        <f t="shared" si="12"/>
        <v>-62.336999999999982</v>
      </c>
      <c r="I20" s="4">
        <f t="shared" si="12"/>
        <v>256.00799999999998</v>
      </c>
      <c r="J20" s="4">
        <f t="shared" si="12"/>
        <v>-141.83400000000003</v>
      </c>
      <c r="K20" s="4">
        <f>K14+SUM(K15:K19)</f>
        <v>275.49900000000002</v>
      </c>
      <c r="L20" s="4">
        <f t="shared" ref="L20:O20" si="13">L14+SUM(L15:L19)</f>
        <v>0</v>
      </c>
      <c r="M20" s="4">
        <f t="shared" si="13"/>
        <v>0</v>
      </c>
      <c r="N20" s="4">
        <f t="shared" si="13"/>
        <v>0</v>
      </c>
      <c r="O20" s="4">
        <f t="shared" si="13"/>
        <v>0</v>
      </c>
      <c r="Q20" s="3"/>
      <c r="U20" s="4">
        <f t="shared" ref="U20:Y20" si="14">U14+SUM(U15:U19)</f>
        <v>-40.088000000000036</v>
      </c>
      <c r="V20" s="4">
        <f t="shared" si="14"/>
        <v>-131.57299999999995</v>
      </c>
      <c r="W20" s="4">
        <f t="shared" si="14"/>
        <v>-142.43299999999996</v>
      </c>
      <c r="X20" s="4">
        <f t="shared" si="14"/>
        <v>389.673</v>
      </c>
      <c r="Y20" s="4">
        <f t="shared" si="14"/>
        <v>0</v>
      </c>
    </row>
    <row r="21" spans="2:25" s="3" customFormat="1" x14ac:dyDescent="0.25">
      <c r="B21" s="3" t="s">
        <v>34</v>
      </c>
      <c r="E21" s="3">
        <v>1.399</v>
      </c>
      <c r="F21" s="3">
        <v>11.595000000000001</v>
      </c>
      <c r="G21" s="3">
        <v>-9.4949999999999992</v>
      </c>
      <c r="H21" s="3">
        <v>-3.4990000000000014</v>
      </c>
      <c r="I21" s="3">
        <v>9.2170000000000005</v>
      </c>
      <c r="J21" s="3">
        <v>-3.0430000000000001</v>
      </c>
      <c r="K21" s="3">
        <v>18.100000000000001</v>
      </c>
      <c r="U21" s="3">
        <v>3.3439999999999999</v>
      </c>
      <c r="V21" s="3">
        <v>2.4159999999999999</v>
      </c>
      <c r="X21" s="3">
        <f>+L21+K21+J21+I21</f>
        <v>24.274000000000001</v>
      </c>
    </row>
    <row r="22" spans="2:25" s="4" customFormat="1" x14ac:dyDescent="0.25">
      <c r="B22" s="4" t="s">
        <v>35</v>
      </c>
      <c r="C22" s="4">
        <f t="shared" ref="C22:J22" si="15">C20-C21</f>
        <v>0</v>
      </c>
      <c r="D22" s="4">
        <f t="shared" si="15"/>
        <v>0</v>
      </c>
      <c r="E22" s="4">
        <f t="shared" si="15"/>
        <v>25.911999999999995</v>
      </c>
      <c r="F22" s="4">
        <f t="shared" si="15"/>
        <v>126.73500000000001</v>
      </c>
      <c r="G22" s="4">
        <f t="shared" si="15"/>
        <v>-236.24199999999996</v>
      </c>
      <c r="H22" s="4">
        <f t="shared" si="15"/>
        <v>-58.83799999999998</v>
      </c>
      <c r="I22" s="4">
        <f t="shared" si="15"/>
        <v>246.79099999999997</v>
      </c>
      <c r="J22" s="4">
        <f t="shared" si="15"/>
        <v>-138.79100000000003</v>
      </c>
      <c r="K22" s="4">
        <f>K20-K21</f>
        <v>257.399</v>
      </c>
      <c r="L22" s="4">
        <f t="shared" ref="L22:O22" si="16">L20-L21</f>
        <v>0</v>
      </c>
      <c r="M22" s="4">
        <f t="shared" si="16"/>
        <v>0</v>
      </c>
      <c r="N22" s="4">
        <f t="shared" si="16"/>
        <v>0</v>
      </c>
      <c r="O22" s="4">
        <f t="shared" si="16"/>
        <v>0</v>
      </c>
      <c r="Q22" s="3"/>
      <c r="U22" s="4">
        <f t="shared" ref="U22:Y22" si="17">U20-U21</f>
        <v>-43.432000000000038</v>
      </c>
      <c r="V22" s="4">
        <f t="shared" si="17"/>
        <v>-133.98899999999995</v>
      </c>
      <c r="W22" s="4">
        <f t="shared" si="17"/>
        <v>-142.43299999999996</v>
      </c>
      <c r="X22" s="4">
        <f t="shared" si="17"/>
        <v>365.399</v>
      </c>
      <c r="Y22" s="4">
        <f t="shared" si="17"/>
        <v>0</v>
      </c>
    </row>
    <row r="23" spans="2:25" s="3" customFormat="1" x14ac:dyDescent="0.25">
      <c r="B23" s="3" t="s">
        <v>1</v>
      </c>
      <c r="E23" s="3">
        <v>178.80926400000001</v>
      </c>
      <c r="F23" s="3">
        <v>209.28708900000001</v>
      </c>
      <c r="G23" s="3">
        <v>228.64293900000001</v>
      </c>
      <c r="H23" s="9">
        <v>216.86081899999999</v>
      </c>
      <c r="I23" s="3">
        <v>284.54989999999998</v>
      </c>
      <c r="J23" s="3">
        <v>280.853882</v>
      </c>
      <c r="K23" s="3">
        <v>280.99764900000002</v>
      </c>
      <c r="U23" s="3">
        <v>42.614196999999997</v>
      </c>
      <c r="V23" s="3">
        <v>102.707509</v>
      </c>
      <c r="W23" s="9">
        <v>216.86081899999999</v>
      </c>
    </row>
    <row r="24" spans="2:25" s="5" customFormat="1" x14ac:dyDescent="0.25">
      <c r="B24" s="5" t="s">
        <v>36</v>
      </c>
      <c r="C24" s="5" t="e">
        <f t="shared" ref="C24:J24" si="18">C22/C23</f>
        <v>#DIV/0!</v>
      </c>
      <c r="D24" s="5" t="e">
        <f t="shared" si="18"/>
        <v>#DIV/0!</v>
      </c>
      <c r="E24" s="5">
        <f t="shared" si="18"/>
        <v>0.14491419191793101</v>
      </c>
      <c r="F24" s="5">
        <f t="shared" si="18"/>
        <v>0.60555574930854916</v>
      </c>
      <c r="G24" s="5">
        <f t="shared" si="18"/>
        <v>-1.0332354938807009</v>
      </c>
      <c r="H24" s="5">
        <f t="shared" si="18"/>
        <v>-0.27131687628644424</v>
      </c>
      <c r="I24" s="5">
        <f t="shared" si="18"/>
        <v>0.86730306353999764</v>
      </c>
      <c r="J24" s="5">
        <f t="shared" si="18"/>
        <v>-0.49417511700977673</v>
      </c>
      <c r="K24" s="5">
        <f>K22/K23</f>
        <v>0.91601834006803373</v>
      </c>
      <c r="L24" s="5" t="e">
        <f t="shared" ref="L24:O24" si="19">L22/L23</f>
        <v>#DIV/0!</v>
      </c>
      <c r="M24" s="5" t="e">
        <f t="shared" si="19"/>
        <v>#DIV/0!</v>
      </c>
      <c r="N24" s="5" t="e">
        <f t="shared" si="19"/>
        <v>#DIV/0!</v>
      </c>
      <c r="O24" s="5" t="e">
        <f t="shared" si="19"/>
        <v>#DIV/0!</v>
      </c>
      <c r="Q24" s="3"/>
      <c r="U24" s="5">
        <f t="shared" ref="U24:Y24" si="20">U22/U23</f>
        <v>-1.0191908579199567</v>
      </c>
      <c r="V24" s="5">
        <f t="shared" si="20"/>
        <v>-1.3045686854307794</v>
      </c>
      <c r="W24" s="5">
        <f t="shared" si="20"/>
        <v>-0.65679453142708999</v>
      </c>
      <c r="X24" s="5" t="e">
        <f t="shared" si="20"/>
        <v>#DIV/0!</v>
      </c>
      <c r="Y24" s="5" t="e">
        <f t="shared" si="20"/>
        <v>#DIV/0!</v>
      </c>
    </row>
    <row r="27" spans="2:25" s="7" customFormat="1" x14ac:dyDescent="0.25">
      <c r="B27" s="7" t="s">
        <v>42</v>
      </c>
      <c r="C27" s="7" t="e">
        <f t="shared" ref="C27:J27" si="21">C5/C3</f>
        <v>#DIV/0!</v>
      </c>
      <c r="D27" s="7" t="e">
        <f t="shared" si="21"/>
        <v>#DIV/0!</v>
      </c>
      <c r="E27" s="7">
        <f t="shared" si="21"/>
        <v>0.60838099368443876</v>
      </c>
      <c r="F27" s="7">
        <f t="shared" si="21"/>
        <v>0.69321729174679558</v>
      </c>
      <c r="G27" s="7">
        <f t="shared" si="21"/>
        <v>0.56602758673685016</v>
      </c>
      <c r="H27" s="7">
        <f t="shared" si="21"/>
        <v>0.35993279193503247</v>
      </c>
      <c r="I27" s="7">
        <f t="shared" si="21"/>
        <v>0.56692913385826771</v>
      </c>
      <c r="J27" s="7">
        <f t="shared" si="21"/>
        <v>0.52989345777934305</v>
      </c>
      <c r="K27" s="7">
        <f>K5/K3</f>
        <v>0.54628380419242462</v>
      </c>
      <c r="L27" s="7" t="e">
        <f t="shared" ref="L27:O27" si="22">L5/L3</f>
        <v>#DIV/0!</v>
      </c>
      <c r="M27" s="7" t="e">
        <f t="shared" si="22"/>
        <v>#DIV/0!</v>
      </c>
      <c r="N27" s="7" t="e">
        <f t="shared" si="22"/>
        <v>#DIV/0!</v>
      </c>
      <c r="O27" s="7" t="e">
        <f t="shared" si="22"/>
        <v>#DIV/0!</v>
      </c>
      <c r="U27" s="7">
        <f t="shared" ref="U27:Y27" si="23">U5/U3</f>
        <v>0.68649306215548367</v>
      </c>
      <c r="V27" s="7">
        <f t="shared" si="23"/>
        <v>0.44272243598878924</v>
      </c>
      <c r="W27" s="7">
        <f t="shared" si="23"/>
        <v>0.56324544552574363</v>
      </c>
      <c r="X27" s="7">
        <f t="shared" si="23"/>
        <v>0.546970305641449</v>
      </c>
      <c r="Y27" s="7" t="e">
        <f t="shared" si="23"/>
        <v>#DIV/0!</v>
      </c>
    </row>
    <row r="28" spans="2:25" s="7" customFormat="1" x14ac:dyDescent="0.25">
      <c r="B28" s="7" t="s">
        <v>43</v>
      </c>
      <c r="C28" s="7" t="e">
        <f t="shared" ref="C28:J28" si="24">C14/C3</f>
        <v>#DIV/0!</v>
      </c>
      <c r="D28" s="7" t="e">
        <f t="shared" si="24"/>
        <v>#DIV/0!</v>
      </c>
      <c r="E28" s="7">
        <f t="shared" si="24"/>
        <v>0.38644187244192657</v>
      </c>
      <c r="F28" s="7">
        <f t="shared" si="24"/>
        <v>1.2264957647206147</v>
      </c>
      <c r="G28" s="7">
        <f t="shared" si="24"/>
        <v>-2.3924962538901906</v>
      </c>
      <c r="H28" s="7">
        <f t="shared" si="24"/>
        <v>-0.73480817698123746</v>
      </c>
      <c r="I28" s="7">
        <f t="shared" si="24"/>
        <v>1.2937044841225831</v>
      </c>
      <c r="J28" s="7">
        <f t="shared" si="24"/>
        <v>-0.75957008893193645</v>
      </c>
      <c r="K28" s="7">
        <f>K14/K3</f>
        <v>1.239226958780532</v>
      </c>
      <c r="L28" s="7" t="e">
        <f t="shared" ref="L28:O28" si="25">L14/L3</f>
        <v>#DIV/0!</v>
      </c>
      <c r="M28" s="7" t="e">
        <f t="shared" si="25"/>
        <v>#DIV/0!</v>
      </c>
      <c r="N28" s="7" t="e">
        <f t="shared" si="25"/>
        <v>#DIV/0!</v>
      </c>
      <c r="O28" s="7" t="e">
        <f t="shared" si="25"/>
        <v>#DIV/0!</v>
      </c>
      <c r="U28" s="7">
        <f t="shared" ref="U28:Y28" si="26">U14/U3</f>
        <v>-0.28788443261737334</v>
      </c>
      <c r="V28" s="7">
        <f t="shared" si="26"/>
        <v>-0.77973136668091747</v>
      </c>
      <c r="W28" s="7">
        <f t="shared" si="26"/>
        <v>-0.39328650440142698</v>
      </c>
      <c r="X28" s="7">
        <f t="shared" si="26"/>
        <v>0.58621757189558132</v>
      </c>
      <c r="Y28" s="7" t="e">
        <f t="shared" si="26"/>
        <v>#DIV/0!</v>
      </c>
    </row>
    <row r="29" spans="2:25" s="7" customFormat="1" x14ac:dyDescent="0.25">
      <c r="B29" s="7" t="s">
        <v>45</v>
      </c>
      <c r="C29" s="7" t="e">
        <f t="shared" ref="C29:J29" si="27">SUM(C15:C19)/C14</f>
        <v>#DIV/0!</v>
      </c>
      <c r="D29" s="7" t="e">
        <f t="shared" si="27"/>
        <v>#DIV/0!</v>
      </c>
      <c r="E29" s="7">
        <f t="shared" si="27"/>
        <v>-4.218980150101706E-2</v>
      </c>
      <c r="F29" s="7">
        <f t="shared" si="27"/>
        <v>8.8170302141903877E-3</v>
      </c>
      <c r="G29" s="7">
        <f t="shared" si="27"/>
        <v>-1.3413468873204378E-2</v>
      </c>
      <c r="H29" s="7">
        <f t="shared" si="27"/>
        <v>-4.9740853658536609E-2</v>
      </c>
      <c r="I29" s="7">
        <f t="shared" si="27"/>
        <v>0.2192250542919191</v>
      </c>
      <c r="J29" s="7">
        <f t="shared" si="27"/>
        <v>2.7611340138962343E-2</v>
      </c>
      <c r="K29" s="7">
        <f>SUM(K15:K19)/K14</f>
        <v>0.11916397538236548</v>
      </c>
      <c r="L29" s="7" t="e">
        <f t="shared" ref="L29:O29" si="28">SUM(L15:L19)/L14</f>
        <v>#DIV/0!</v>
      </c>
      <c r="M29" s="7" t="e">
        <f t="shared" si="28"/>
        <v>#DIV/0!</v>
      </c>
      <c r="N29" s="7" t="e">
        <f t="shared" si="28"/>
        <v>#DIV/0!</v>
      </c>
      <c r="O29" s="7" t="e">
        <f t="shared" si="28"/>
        <v>#DIV/0!</v>
      </c>
      <c r="U29" s="7">
        <f t="shared" ref="U29:Y29" si="29">SUM(U15:U19)/U14</f>
        <v>5.8736530741601477E-2</v>
      </c>
      <c r="V29" s="7">
        <f t="shared" si="29"/>
        <v>1.9800019800019805E-3</v>
      </c>
      <c r="W29" s="7">
        <f t="shared" si="29"/>
        <v>-4.4349617224559365E-2</v>
      </c>
      <c r="X29" s="7">
        <f t="shared" si="29"/>
        <v>0.22493225784142989</v>
      </c>
      <c r="Y29" s="7" t="e">
        <f t="shared" si="29"/>
        <v>#DIV/0!</v>
      </c>
    </row>
    <row r="30" spans="2:25" s="7" customFormat="1" x14ac:dyDescent="0.25">
      <c r="B30" s="7" t="s">
        <v>44</v>
      </c>
      <c r="C30" s="7" t="e">
        <f t="shared" ref="C30:J30" si="30">C21/C20</f>
        <v>#DIV/0!</v>
      </c>
      <c r="D30" s="7" t="e">
        <f t="shared" si="30"/>
        <v>#DIV/0!</v>
      </c>
      <c r="E30" s="7">
        <f t="shared" si="30"/>
        <v>5.1224781223682771E-2</v>
      </c>
      <c r="F30" s="7">
        <f t="shared" si="30"/>
        <v>8.3821296898720449E-2</v>
      </c>
      <c r="G30" s="7">
        <f t="shared" si="30"/>
        <v>3.8638870011434991E-2</v>
      </c>
      <c r="H30" s="7">
        <f t="shared" si="30"/>
        <v>5.6130388052039758E-2</v>
      </c>
      <c r="I30" s="7">
        <f t="shared" si="30"/>
        <v>3.6002781163088658E-2</v>
      </c>
      <c r="J30" s="7">
        <f t="shared" si="30"/>
        <v>2.1454658262475848E-2</v>
      </c>
      <c r="K30" s="7">
        <f>K21/K20</f>
        <v>6.5698968054330509E-2</v>
      </c>
      <c r="L30" s="7" t="e">
        <f t="shared" ref="L30:O30" si="31">L21/L20</f>
        <v>#DIV/0!</v>
      </c>
      <c r="M30" s="7" t="e">
        <f t="shared" si="31"/>
        <v>#DIV/0!</v>
      </c>
      <c r="N30" s="7" t="e">
        <f t="shared" si="31"/>
        <v>#DIV/0!</v>
      </c>
      <c r="O30" s="7" t="e">
        <f t="shared" si="31"/>
        <v>#DIV/0!</v>
      </c>
      <c r="U30" s="7">
        <f t="shared" ref="U30:Y30" si="32">U21/U20</f>
        <v>-8.3416483735781199E-2</v>
      </c>
      <c r="V30" s="7">
        <f t="shared" si="32"/>
        <v>-1.8362429981835186E-2</v>
      </c>
      <c r="W30" s="7">
        <f t="shared" si="32"/>
        <v>0</v>
      </c>
      <c r="X30" s="7">
        <f t="shared" si="32"/>
        <v>6.2293256140404908E-2</v>
      </c>
      <c r="Y30" s="7" t="e">
        <f t="shared" si="32"/>
        <v>#DIV/0!</v>
      </c>
    </row>
    <row r="31" spans="2:25" s="7" customFormat="1" x14ac:dyDescent="0.25">
      <c r="B31" s="7" t="s">
        <v>46</v>
      </c>
      <c r="C31" s="7" t="e">
        <f t="shared" ref="C31:J31" si="33">C22/C3</f>
        <v>#DIV/0!</v>
      </c>
      <c r="D31" s="7" t="e">
        <f t="shared" si="33"/>
        <v>#DIV/0!</v>
      </c>
      <c r="E31" s="7">
        <f t="shared" si="33"/>
        <v>0.35117773019271942</v>
      </c>
      <c r="F31" s="7">
        <f t="shared" si="33"/>
        <v>1.133596901582304</v>
      </c>
      <c r="G31" s="7">
        <f t="shared" si="33"/>
        <v>-2.2692012141237941</v>
      </c>
      <c r="H31" s="7">
        <f t="shared" si="33"/>
        <v>-0.65906468776253124</v>
      </c>
      <c r="I31" s="7">
        <f t="shared" si="33"/>
        <v>1.5205291240003447</v>
      </c>
      <c r="J31" s="7">
        <f t="shared" si="33"/>
        <v>-0.76379655718939876</v>
      </c>
      <c r="K31" s="7">
        <f>K22/K3</f>
        <v>1.2957803910513279</v>
      </c>
      <c r="L31" s="7" t="e">
        <f t="shared" ref="L31:O31" si="34">L22/L3</f>
        <v>#DIV/0!</v>
      </c>
      <c r="M31" s="7" t="e">
        <f t="shared" si="34"/>
        <v>#DIV/0!</v>
      </c>
      <c r="N31" s="7" t="e">
        <f t="shared" si="34"/>
        <v>#DIV/0!</v>
      </c>
      <c r="O31" s="7" t="e">
        <f t="shared" si="34"/>
        <v>#DIV/0!</v>
      </c>
      <c r="U31" s="7">
        <f t="shared" ref="U31:Y31" si="35">U22/U3</f>
        <v>-0.33021858962174516</v>
      </c>
      <c r="V31" s="7">
        <f t="shared" si="35"/>
        <v>-0.7956213481544816</v>
      </c>
      <c r="W31" s="7">
        <f t="shared" si="35"/>
        <v>-0.37584439847163864</v>
      </c>
      <c r="X31" s="7">
        <f t="shared" si="35"/>
        <v>0.6733454710298491</v>
      </c>
      <c r="Y31" s="7" t="e">
        <f t="shared" si="35"/>
        <v>#DIV/0!</v>
      </c>
    </row>
    <row r="32" spans="2:25" s="7" customFormat="1" x14ac:dyDescent="0.25"/>
    <row r="33" spans="2:25" s="7" customFormat="1" x14ac:dyDescent="0.25">
      <c r="B33" s="7" t="s">
        <v>47</v>
      </c>
      <c r="G33" s="7" t="e">
        <f t="shared" ref="G33:J33" si="36">G3/C3-1</f>
        <v>#DIV/0!</v>
      </c>
      <c r="H33" s="7" t="e">
        <f t="shared" si="36"/>
        <v>#DIV/0!</v>
      </c>
      <c r="I33" s="7">
        <f t="shared" si="36"/>
        <v>1.199685577209769</v>
      </c>
      <c r="J33" s="7">
        <f t="shared" si="36"/>
        <v>0.62534548609558205</v>
      </c>
      <c r="K33" s="7">
        <f>K3/G3-1</f>
        <v>0.90805701771237568</v>
      </c>
      <c r="L33" s="7">
        <f t="shared" ref="L33:O33" si="37">L3/H3-1</f>
        <v>-1</v>
      </c>
      <c r="M33" s="7">
        <f t="shared" si="37"/>
        <v>-1</v>
      </c>
      <c r="N33" s="7">
        <f t="shared" si="37"/>
        <v>-1</v>
      </c>
      <c r="O33" s="7">
        <f t="shared" si="37"/>
        <v>-1</v>
      </c>
      <c r="U33" s="7" t="e">
        <f t="shared" ref="U33:V33" si="38">U3/T3-1</f>
        <v>#DIV/0!</v>
      </c>
      <c r="V33" s="7">
        <f t="shared" si="38"/>
        <v>0.28042577456757267</v>
      </c>
      <c r="W33" s="7">
        <f>W3/V3-1</f>
        <v>1.2502968980095956</v>
      </c>
      <c r="X33" s="7">
        <f t="shared" ref="X33:Y33" si="39">X3/W3-1</f>
        <v>0.43194676067636317</v>
      </c>
      <c r="Y33" s="7">
        <f t="shared" si="39"/>
        <v>-1</v>
      </c>
    </row>
    <row r="34" spans="2:25" s="7" customFormat="1" x14ac:dyDescent="0.25">
      <c r="B34" s="7" t="s">
        <v>48</v>
      </c>
      <c r="G34" s="7" t="e">
        <f t="shared" ref="G34:J34" si="40">G23/C23-1</f>
        <v>#DIV/0!</v>
      </c>
      <c r="H34" s="7" t="e">
        <f t="shared" si="40"/>
        <v>#DIV/0!</v>
      </c>
      <c r="I34" s="7">
        <f t="shared" si="40"/>
        <v>0.59135994206653608</v>
      </c>
      <c r="J34" s="7">
        <f t="shared" si="40"/>
        <v>0.34195512652956817</v>
      </c>
      <c r="K34" s="7">
        <f>K23/G23-1</f>
        <v>0.22898021792835688</v>
      </c>
      <c r="L34" s="7">
        <f t="shared" ref="L34:O34" si="41">L23/H23-1</f>
        <v>-1</v>
      </c>
      <c r="M34" s="7">
        <f t="shared" si="41"/>
        <v>-1</v>
      </c>
      <c r="N34" s="7">
        <f t="shared" si="41"/>
        <v>-1</v>
      </c>
      <c r="O34" s="7">
        <f t="shared" si="41"/>
        <v>-1</v>
      </c>
      <c r="U34" s="7" t="e">
        <f t="shared" ref="U34:V34" si="42">U23/T23-1</f>
        <v>#DIV/0!</v>
      </c>
      <c r="V34" s="7">
        <f t="shared" si="42"/>
        <v>1.4101711690120551</v>
      </c>
      <c r="W34" s="7">
        <f>W23/V23-1</f>
        <v>1.1114407418838286</v>
      </c>
      <c r="X34" s="7">
        <f t="shared" ref="X34:Y34" si="43">X23/W23-1</f>
        <v>-1</v>
      </c>
      <c r="Y34" s="7" t="e">
        <f t="shared" si="43"/>
        <v>#DIV/0!</v>
      </c>
    </row>
    <row r="35" spans="2:25" s="7" customFormat="1" x14ac:dyDescent="0.25">
      <c r="B35" s="7" t="s">
        <v>49</v>
      </c>
      <c r="D35" s="7" t="e">
        <f t="shared" ref="D35:J35" si="44">D23/C23-1</f>
        <v>#DIV/0!</v>
      </c>
      <c r="E35" s="7" t="e">
        <f t="shared" si="44"/>
        <v>#DIV/0!</v>
      </c>
      <c r="F35" s="7">
        <f t="shared" si="44"/>
        <v>0.17044880292108355</v>
      </c>
      <c r="G35" s="7">
        <f t="shared" si="44"/>
        <v>9.2484682607439694E-2</v>
      </c>
      <c r="H35" s="7">
        <f t="shared" si="44"/>
        <v>-5.153065321645478E-2</v>
      </c>
      <c r="I35" s="7">
        <f t="shared" si="44"/>
        <v>0.31213144592984299</v>
      </c>
      <c r="J35" s="7">
        <f t="shared" si="44"/>
        <v>-1.2988997711824823E-2</v>
      </c>
      <c r="K35" s="7">
        <f>K23/J23-1</f>
        <v>5.1189251498406918E-4</v>
      </c>
      <c r="L35" s="7">
        <f t="shared" ref="L35:O35" si="45">L23/K23-1</f>
        <v>-1</v>
      </c>
      <c r="M35" s="7" t="e">
        <f t="shared" si="45"/>
        <v>#DIV/0!</v>
      </c>
      <c r="N35" s="7" t="e">
        <f t="shared" si="45"/>
        <v>#DIV/0!</v>
      </c>
      <c r="O35" s="7" t="e">
        <f t="shared" si="45"/>
        <v>#DIV/0!</v>
      </c>
    </row>
    <row r="39" spans="2:25" s="3" customFormat="1" x14ac:dyDescent="0.25">
      <c r="B39" s="3" t="s">
        <v>50</v>
      </c>
      <c r="D39" s="3">
        <f t="shared" ref="D39:J39" si="46">D40-D59-D61</f>
        <v>13.311999999999999</v>
      </c>
      <c r="E39" s="3">
        <f t="shared" si="46"/>
        <v>0</v>
      </c>
      <c r="F39" s="3">
        <f t="shared" si="46"/>
        <v>0</v>
      </c>
      <c r="G39" s="3">
        <f t="shared" si="46"/>
        <v>0</v>
      </c>
      <c r="H39" s="3">
        <f t="shared" si="46"/>
        <v>55.264999999999993</v>
      </c>
      <c r="I39" s="3">
        <f t="shared" si="46"/>
        <v>-372.04799999999994</v>
      </c>
      <c r="J39" s="3">
        <f t="shared" si="46"/>
        <v>-550.178</v>
      </c>
      <c r="K39" s="3">
        <f>K40-K59-K61</f>
        <v>-785.78399999999999</v>
      </c>
      <c r="L39" s="3">
        <f t="shared" ref="L39:N39" si="47">L40-L59-L61</f>
        <v>0</v>
      </c>
      <c r="M39" s="3">
        <f t="shared" si="47"/>
        <v>0</v>
      </c>
      <c r="N39" s="3">
        <f t="shared" si="47"/>
        <v>0</v>
      </c>
      <c r="V39" s="3">
        <f t="shared" ref="V39" si="48">V40-V59-V61</f>
        <v>13.311999999999999</v>
      </c>
      <c r="W39" s="3">
        <f t="shared" ref="W39" si="49">W40-W59-W61</f>
        <v>55.264999999999993</v>
      </c>
      <c r="X39" s="3">
        <f>X40-X59-X61</f>
        <v>-785.78399999999999</v>
      </c>
    </row>
    <row r="40" spans="2:25" s="3" customFormat="1" x14ac:dyDescent="0.25">
      <c r="B40" s="3" t="s">
        <v>51</v>
      </c>
      <c r="D40" s="3">
        <v>29.215</v>
      </c>
      <c r="H40" s="3">
        <v>121.22199999999999</v>
      </c>
      <c r="I40" s="3">
        <v>276.60000000000002</v>
      </c>
      <c r="J40" s="3">
        <v>96.981999999999999</v>
      </c>
      <c r="K40" s="3">
        <v>34.552999999999997</v>
      </c>
      <c r="V40" s="3">
        <v>29.215</v>
      </c>
      <c r="W40" s="3">
        <v>121.22199999999999</v>
      </c>
      <c r="X40" s="3">
        <v>34.552999999999997</v>
      </c>
    </row>
    <row r="41" spans="2:25" s="3" customFormat="1" x14ac:dyDescent="0.25">
      <c r="B41" s="3" t="s">
        <v>52</v>
      </c>
      <c r="D41" s="3">
        <v>9.59</v>
      </c>
      <c r="H41" s="3">
        <v>3.056</v>
      </c>
      <c r="I41" s="3">
        <v>3.4</v>
      </c>
      <c r="J41" s="3">
        <v>3.4350000000000001</v>
      </c>
      <c r="K41" s="3">
        <v>3.4620000000000002</v>
      </c>
      <c r="V41" s="3">
        <v>9.59</v>
      </c>
      <c r="W41" s="3">
        <v>3.056</v>
      </c>
      <c r="X41" s="3">
        <v>3.4620000000000002</v>
      </c>
    </row>
    <row r="42" spans="2:25" s="3" customFormat="1" x14ac:dyDescent="0.25">
      <c r="B42" s="3" t="s">
        <v>53</v>
      </c>
      <c r="D42" s="3">
        <f>3.258+0.445</f>
        <v>3.7029999999999998</v>
      </c>
      <c r="H42" s="3">
        <v>7.9950000000000001</v>
      </c>
      <c r="I42" s="3">
        <v>10.731999999999999</v>
      </c>
      <c r="J42" s="3">
        <v>10.417999999999999</v>
      </c>
      <c r="K42" s="3">
        <v>11.319000000000001</v>
      </c>
      <c r="V42" s="3">
        <f>3.258+0.445</f>
        <v>3.7029999999999998</v>
      </c>
      <c r="W42" s="3">
        <v>7.9950000000000001</v>
      </c>
      <c r="X42" s="3">
        <v>11.319000000000001</v>
      </c>
    </row>
    <row r="43" spans="2:25" s="3" customFormat="1" x14ac:dyDescent="0.25">
      <c r="B43" s="3" t="s">
        <v>54</v>
      </c>
      <c r="D43" s="3">
        <v>56.241</v>
      </c>
      <c r="H43" s="3">
        <v>431.661</v>
      </c>
      <c r="I43" s="3">
        <v>929.08</v>
      </c>
      <c r="J43" s="3">
        <v>832.69</v>
      </c>
      <c r="K43" s="3">
        <v>877.06700000000001</v>
      </c>
      <c r="V43" s="3">
        <v>56.241</v>
      </c>
      <c r="W43" s="3">
        <v>431.661</v>
      </c>
      <c r="X43" s="3">
        <v>877.06700000000001</v>
      </c>
    </row>
    <row r="44" spans="2:25" s="3" customFormat="1" x14ac:dyDescent="0.25">
      <c r="B44" s="3" t="s">
        <v>55</v>
      </c>
      <c r="H44" s="3">
        <v>77.826999999999998</v>
      </c>
      <c r="K44" s="3">
        <v>271.49099999999999</v>
      </c>
      <c r="W44" s="3">
        <v>77.826999999999998</v>
      </c>
      <c r="X44" s="3">
        <v>271.49099999999999</v>
      </c>
    </row>
    <row r="45" spans="2:25" s="3" customFormat="1" x14ac:dyDescent="0.25">
      <c r="B45" s="3" t="s">
        <v>56</v>
      </c>
      <c r="H45" s="3">
        <v>60.918999999999997</v>
      </c>
      <c r="W45" s="3">
        <v>60.918999999999997</v>
      </c>
    </row>
    <row r="46" spans="2:25" s="3" customFormat="1" x14ac:dyDescent="0.25">
      <c r="B46" s="3" t="s">
        <v>57</v>
      </c>
      <c r="D46" s="3">
        <v>2.6970000000000001</v>
      </c>
      <c r="H46" s="3">
        <v>1.8320000000000001</v>
      </c>
      <c r="I46" s="3">
        <v>4.4960000000000004</v>
      </c>
      <c r="J46" s="3">
        <v>7.1999999999999995E-2</v>
      </c>
      <c r="K46" s="3">
        <v>7.843</v>
      </c>
      <c r="V46" s="3">
        <v>2.6970000000000001</v>
      </c>
      <c r="W46" s="3">
        <v>1.8320000000000001</v>
      </c>
      <c r="X46" s="3">
        <v>7.843</v>
      </c>
    </row>
    <row r="47" spans="2:25" s="3" customFormat="1" x14ac:dyDescent="0.25">
      <c r="B47" s="3" t="s">
        <v>58</v>
      </c>
      <c r="D47" s="3">
        <v>0.72599999999999998</v>
      </c>
      <c r="H47" s="3">
        <v>0.91800000000000004</v>
      </c>
      <c r="I47" s="3">
        <v>0.95</v>
      </c>
      <c r="J47" s="3">
        <v>3.8959999999999999</v>
      </c>
      <c r="K47" s="3">
        <v>4.4050000000000002</v>
      </c>
      <c r="V47" s="3">
        <v>0.72599999999999998</v>
      </c>
      <c r="W47" s="3">
        <v>0.91800000000000004</v>
      </c>
      <c r="X47" s="3">
        <v>4.4050000000000002</v>
      </c>
    </row>
    <row r="48" spans="2:25" s="3" customFormat="1" x14ac:dyDescent="0.25">
      <c r="B48" s="3" t="s">
        <v>59</v>
      </c>
      <c r="J48" s="3">
        <v>146.94499999999999</v>
      </c>
      <c r="K48" s="3">
        <v>202.68700000000001</v>
      </c>
      <c r="X48" s="3">
        <v>202.68700000000001</v>
      </c>
    </row>
    <row r="49" spans="2:24" s="3" customFormat="1" x14ac:dyDescent="0.25">
      <c r="B49" s="3" t="s">
        <v>60</v>
      </c>
      <c r="D49" s="3">
        <v>564.39499999999998</v>
      </c>
      <c r="H49" s="3">
        <v>869.69299999999998</v>
      </c>
      <c r="I49" s="3">
        <v>1256</v>
      </c>
      <c r="J49" s="3">
        <v>1271.501</v>
      </c>
      <c r="K49" s="3">
        <v>1329.307</v>
      </c>
      <c r="V49" s="3">
        <v>564.39499999999998</v>
      </c>
      <c r="W49" s="3">
        <v>869.69299999999998</v>
      </c>
      <c r="X49" s="3">
        <v>1329.307</v>
      </c>
    </row>
    <row r="50" spans="2:24" s="3" customFormat="1" x14ac:dyDescent="0.25">
      <c r="B50" s="3" t="s">
        <v>61</v>
      </c>
      <c r="D50" s="3">
        <v>0.68799999999999994</v>
      </c>
      <c r="H50" s="3">
        <v>3.2629999999999999</v>
      </c>
      <c r="I50" s="3">
        <v>4.2930000000000001</v>
      </c>
      <c r="J50" s="3">
        <v>4.4329999999999998</v>
      </c>
      <c r="K50" s="3">
        <v>4.702</v>
      </c>
      <c r="V50" s="3">
        <v>0.68799999999999994</v>
      </c>
      <c r="W50" s="3">
        <v>3.2629999999999999</v>
      </c>
      <c r="X50" s="3">
        <v>4.702</v>
      </c>
    </row>
    <row r="51" spans="2:24" s="3" customFormat="1" x14ac:dyDescent="0.25">
      <c r="B51" s="3" t="s">
        <v>62</v>
      </c>
      <c r="D51" s="3">
        <v>4.6029999999999998</v>
      </c>
      <c r="H51" s="3">
        <v>3.04</v>
      </c>
      <c r="I51" s="3">
        <v>5.9450000000000003</v>
      </c>
      <c r="J51" s="3">
        <v>6.9779999999999998</v>
      </c>
      <c r="K51" s="3">
        <v>6.9550000000000001</v>
      </c>
      <c r="V51" s="3">
        <v>4.6029999999999998</v>
      </c>
      <c r="W51" s="3">
        <v>3.04</v>
      </c>
      <c r="X51" s="3">
        <v>6.9550000000000001</v>
      </c>
    </row>
    <row r="52" spans="2:24" s="3" customFormat="1" x14ac:dyDescent="0.25">
      <c r="B52" s="3" t="s">
        <v>63</v>
      </c>
      <c r="D52" s="3">
        <v>75.959000000000003</v>
      </c>
      <c r="H52" s="3">
        <v>359.86200000000002</v>
      </c>
      <c r="I52" s="3">
        <v>126.867</v>
      </c>
      <c r="J52" s="3">
        <v>124.032</v>
      </c>
      <c r="K52" s="3">
        <v>196.15100000000001</v>
      </c>
      <c r="V52" s="3">
        <v>75.959000000000003</v>
      </c>
      <c r="W52" s="3">
        <v>359.86200000000002</v>
      </c>
      <c r="X52" s="3">
        <v>196.15100000000001</v>
      </c>
    </row>
    <row r="53" spans="2:24" s="3" customFormat="1" x14ac:dyDescent="0.25">
      <c r="B53" s="3" t="s">
        <v>64</v>
      </c>
      <c r="D53" s="3">
        <v>5.718</v>
      </c>
      <c r="H53" s="3">
        <v>13.331</v>
      </c>
      <c r="I53" s="3">
        <v>25.670999999999999</v>
      </c>
      <c r="J53" s="3">
        <v>23.4</v>
      </c>
      <c r="K53" s="3">
        <v>23.065000000000001</v>
      </c>
      <c r="V53" s="3">
        <v>5.718</v>
      </c>
      <c r="W53" s="3">
        <v>13.331</v>
      </c>
      <c r="X53" s="3">
        <v>23.065000000000001</v>
      </c>
    </row>
    <row r="54" spans="2:24" s="3" customFormat="1" x14ac:dyDescent="0.25">
      <c r="B54" s="3" t="s">
        <v>65</v>
      </c>
      <c r="D54" s="3">
        <v>8.0429999999999993</v>
      </c>
      <c r="H54" s="3">
        <v>8.0429999999999993</v>
      </c>
      <c r="I54" s="3">
        <v>135.251</v>
      </c>
      <c r="J54" s="3">
        <v>132.21600000000001</v>
      </c>
      <c r="K54" s="3">
        <v>128.81</v>
      </c>
      <c r="V54" s="3">
        <v>8.0429999999999993</v>
      </c>
      <c r="W54" s="3">
        <v>8.0429999999999993</v>
      </c>
      <c r="X54" s="3">
        <v>128.81</v>
      </c>
    </row>
    <row r="55" spans="2:24" s="4" customFormat="1" x14ac:dyDescent="0.25">
      <c r="B55" s="4" t="s">
        <v>66</v>
      </c>
      <c r="D55" s="4">
        <f t="shared" ref="D55:J55" si="50">SUM(D40:D54)</f>
        <v>761.57799999999997</v>
      </c>
      <c r="E55" s="4">
        <f t="shared" si="50"/>
        <v>0</v>
      </c>
      <c r="F55" s="4">
        <f t="shared" si="50"/>
        <v>0</v>
      </c>
      <c r="G55" s="4">
        <f t="shared" si="50"/>
        <v>0</v>
      </c>
      <c r="H55" s="4">
        <f t="shared" si="50"/>
        <v>1962.6619999999998</v>
      </c>
      <c r="I55" s="4">
        <f t="shared" si="50"/>
        <v>2779.2850000000003</v>
      </c>
      <c r="J55" s="4">
        <f t="shared" si="50"/>
        <v>2656.9980000000005</v>
      </c>
      <c r="K55" s="4">
        <f>SUM(K40:K54)</f>
        <v>3101.817</v>
      </c>
      <c r="L55" s="4">
        <f t="shared" ref="L55:N55" si="51">SUM(L40:L54)</f>
        <v>0</v>
      </c>
      <c r="M55" s="4">
        <f t="shared" si="51"/>
        <v>0</v>
      </c>
      <c r="N55" s="4">
        <f t="shared" si="51"/>
        <v>0</v>
      </c>
      <c r="V55" s="4">
        <f t="shared" ref="V55" si="52">SUM(V40:V54)</f>
        <v>761.57799999999997</v>
      </c>
      <c r="W55" s="4">
        <f t="shared" ref="W55" si="53">SUM(W40:W54)</f>
        <v>1962.6619999999998</v>
      </c>
      <c r="X55" s="4">
        <f>SUM(X40:X54)</f>
        <v>3101.817</v>
      </c>
    </row>
    <row r="56" spans="2:24" s="3" customFormat="1" x14ac:dyDescent="0.25">
      <c r="B56" s="3" t="s">
        <v>67</v>
      </c>
      <c r="D56" s="3">
        <v>39.9</v>
      </c>
      <c r="H56" s="3">
        <v>82.992000000000004</v>
      </c>
      <c r="I56" s="3">
        <v>27.622</v>
      </c>
      <c r="J56" s="3">
        <v>11.39</v>
      </c>
      <c r="K56" s="3">
        <v>23.47</v>
      </c>
      <c r="V56" s="3">
        <v>39.9</v>
      </c>
      <c r="W56" s="3">
        <v>82.992000000000004</v>
      </c>
      <c r="X56" s="3">
        <v>23.47</v>
      </c>
    </row>
    <row r="57" spans="2:24" s="3" customFormat="1" x14ac:dyDescent="0.25">
      <c r="B57" s="3" t="s">
        <v>68</v>
      </c>
      <c r="D57" s="3">
        <v>25.677</v>
      </c>
      <c r="H57" s="3">
        <v>43.874000000000002</v>
      </c>
      <c r="I57" s="3">
        <v>51</v>
      </c>
      <c r="J57" s="3">
        <v>87.906000000000006</v>
      </c>
      <c r="K57" s="3">
        <v>64.492000000000004</v>
      </c>
      <c r="V57" s="3">
        <v>25.677</v>
      </c>
      <c r="W57" s="3">
        <v>43.874000000000002</v>
      </c>
      <c r="X57" s="3">
        <v>64.492000000000004</v>
      </c>
    </row>
    <row r="58" spans="2:24" s="3" customFormat="1" x14ac:dyDescent="0.25">
      <c r="B58" s="3" t="s">
        <v>69</v>
      </c>
      <c r="D58" s="3">
        <f>0.311+1.175</f>
        <v>1.486</v>
      </c>
      <c r="H58" s="3">
        <v>2.2400000000000002</v>
      </c>
      <c r="I58" s="3">
        <v>5.6929999999999996</v>
      </c>
      <c r="J58" s="3">
        <v>4.5960000000000001</v>
      </c>
      <c r="K58" s="3">
        <v>6.83</v>
      </c>
      <c r="V58" s="3">
        <f>0.311+1.175</f>
        <v>1.486</v>
      </c>
      <c r="W58" s="3">
        <v>2.2400000000000002</v>
      </c>
      <c r="X58" s="3">
        <v>6.83</v>
      </c>
    </row>
    <row r="59" spans="2:24" s="3" customFormat="1" x14ac:dyDescent="0.25">
      <c r="B59" s="3" t="s">
        <v>70</v>
      </c>
      <c r="D59" s="3">
        <v>6.992</v>
      </c>
      <c r="H59" s="3">
        <v>58.780999999999999</v>
      </c>
      <c r="I59" s="3">
        <v>7.2149999999999999</v>
      </c>
      <c r="J59" s="3">
        <v>5.42</v>
      </c>
      <c r="K59" s="3">
        <v>176.42400000000001</v>
      </c>
      <c r="V59" s="3">
        <v>6.992</v>
      </c>
      <c r="W59" s="3">
        <v>58.780999999999999</v>
      </c>
      <c r="X59" s="3">
        <v>176.42400000000001</v>
      </c>
    </row>
    <row r="60" spans="2:24" s="3" customFormat="1" x14ac:dyDescent="0.25">
      <c r="B60" s="3" t="s">
        <v>71</v>
      </c>
      <c r="I60" s="3">
        <v>5.141</v>
      </c>
      <c r="K60" s="3">
        <v>5.6</v>
      </c>
      <c r="X60" s="3">
        <v>5.6</v>
      </c>
    </row>
    <row r="61" spans="2:24" s="3" customFormat="1" x14ac:dyDescent="0.25">
      <c r="B61" s="3" t="s">
        <v>72</v>
      </c>
      <c r="D61" s="3">
        <v>8.9109999999999996</v>
      </c>
      <c r="H61" s="3">
        <v>7.1760000000000002</v>
      </c>
      <c r="I61" s="3">
        <v>641.43299999999999</v>
      </c>
      <c r="J61" s="3">
        <v>641.74</v>
      </c>
      <c r="K61" s="3">
        <v>643.91300000000001</v>
      </c>
      <c r="V61" s="3">
        <v>8.9109999999999996</v>
      </c>
      <c r="W61" s="3">
        <v>7.1760000000000002</v>
      </c>
      <c r="X61" s="3">
        <v>643.91300000000001</v>
      </c>
    </row>
    <row r="62" spans="2:24" s="3" customFormat="1" x14ac:dyDescent="0.25">
      <c r="B62" s="3" t="s">
        <v>73</v>
      </c>
      <c r="D62" s="3">
        <v>2.4159999999999999</v>
      </c>
      <c r="H62" s="3">
        <v>5.7610000000000001</v>
      </c>
      <c r="I62" s="3">
        <v>14.978</v>
      </c>
      <c r="J62" s="3">
        <v>11.933999999999999</v>
      </c>
      <c r="K62" s="3">
        <v>30.774000000000001</v>
      </c>
      <c r="V62" s="3">
        <v>2.4159999999999999</v>
      </c>
      <c r="W62" s="3">
        <v>5.7610000000000001</v>
      </c>
      <c r="X62" s="3">
        <v>30.774000000000001</v>
      </c>
    </row>
    <row r="63" spans="2:24" s="3" customFormat="1" x14ac:dyDescent="0.25">
      <c r="B63" s="3" t="s">
        <v>74</v>
      </c>
      <c r="D63" s="3">
        <v>0.52800000000000002</v>
      </c>
      <c r="H63" s="3">
        <v>0.997</v>
      </c>
      <c r="I63" s="3">
        <v>4.6180000000000003</v>
      </c>
      <c r="J63" s="3">
        <v>3.5209999999999999</v>
      </c>
      <c r="K63" s="3">
        <v>3.423</v>
      </c>
      <c r="V63" s="3">
        <v>0.52800000000000002</v>
      </c>
      <c r="W63" s="3">
        <v>0.997</v>
      </c>
      <c r="X63" s="3">
        <v>3.423</v>
      </c>
    </row>
    <row r="64" spans="2:24" s="4" customFormat="1" x14ac:dyDescent="0.25">
      <c r="B64" s="4" t="s">
        <v>75</v>
      </c>
      <c r="D64" s="4">
        <f t="shared" ref="D64:J64" si="54">SUM(D56:D63)</f>
        <v>85.910000000000011</v>
      </c>
      <c r="E64" s="4">
        <f t="shared" si="54"/>
        <v>0</v>
      </c>
      <c r="F64" s="4">
        <f t="shared" si="54"/>
        <v>0</v>
      </c>
      <c r="G64" s="4">
        <f t="shared" si="54"/>
        <v>0</v>
      </c>
      <c r="H64" s="4">
        <f t="shared" si="54"/>
        <v>201.82100000000003</v>
      </c>
      <c r="I64" s="4">
        <f t="shared" si="54"/>
        <v>757.7</v>
      </c>
      <c r="J64" s="4">
        <f t="shared" si="54"/>
        <v>766.50699999999995</v>
      </c>
      <c r="K64" s="4">
        <f>SUM(K56:K63)</f>
        <v>954.92600000000004</v>
      </c>
      <c r="L64" s="4">
        <f t="shared" ref="L64:N64" si="55">SUM(L56:L63)</f>
        <v>0</v>
      </c>
      <c r="M64" s="4">
        <f t="shared" si="55"/>
        <v>0</v>
      </c>
      <c r="N64" s="4">
        <f t="shared" si="55"/>
        <v>0</v>
      </c>
      <c r="V64" s="4">
        <f t="shared" ref="V64" si="56">SUM(V56:V63)</f>
        <v>85.910000000000011</v>
      </c>
      <c r="W64" s="4">
        <f t="shared" ref="W64" si="57">SUM(W56:W63)</f>
        <v>201.82100000000003</v>
      </c>
      <c r="X64" s="4">
        <f>SUM(X56:X63)</f>
        <v>954.92600000000004</v>
      </c>
    </row>
    <row r="65" spans="2:26" s="3" customFormat="1" x14ac:dyDescent="0.25">
      <c r="B65" s="9" t="s">
        <v>76</v>
      </c>
      <c r="D65" s="3">
        <v>675.66800000000001</v>
      </c>
      <c r="H65" s="3">
        <v>1760.8409999999999</v>
      </c>
      <c r="I65" s="3">
        <v>2021.586</v>
      </c>
      <c r="J65" s="3">
        <v>1890.491</v>
      </c>
      <c r="K65" s="3">
        <v>2146.8879999999999</v>
      </c>
      <c r="V65" s="3">
        <v>675.66800000000001</v>
      </c>
      <c r="W65" s="3">
        <v>1760.8409999999999</v>
      </c>
      <c r="X65" s="3">
        <v>2146.8879999999999</v>
      </c>
    </row>
    <row r="66" spans="2:26" s="4" customFormat="1" x14ac:dyDescent="0.25">
      <c r="B66" s="4" t="s">
        <v>77</v>
      </c>
      <c r="D66" s="4">
        <f t="shared" ref="D66:J66" si="58">D64+D65</f>
        <v>761.57799999999997</v>
      </c>
      <c r="E66" s="4">
        <f t="shared" si="58"/>
        <v>0</v>
      </c>
      <c r="F66" s="4">
        <f t="shared" si="58"/>
        <v>0</v>
      </c>
      <c r="G66" s="4">
        <f t="shared" si="58"/>
        <v>0</v>
      </c>
      <c r="H66" s="4">
        <f t="shared" si="58"/>
        <v>1962.6619999999998</v>
      </c>
      <c r="I66" s="4">
        <f t="shared" si="58"/>
        <v>2779.2860000000001</v>
      </c>
      <c r="J66" s="4">
        <f t="shared" si="58"/>
        <v>2656.998</v>
      </c>
      <c r="K66" s="4">
        <f>K64+K65</f>
        <v>3101.8139999999999</v>
      </c>
      <c r="L66" s="4">
        <f t="shared" ref="L66:N66" si="59">L64+L65</f>
        <v>0</v>
      </c>
      <c r="M66" s="4">
        <f t="shared" si="59"/>
        <v>0</v>
      </c>
      <c r="N66" s="4">
        <f t="shared" si="59"/>
        <v>0</v>
      </c>
      <c r="V66" s="4">
        <f t="shared" ref="V66" si="60">V64+V65</f>
        <v>761.57799999999997</v>
      </c>
      <c r="W66" s="4">
        <f t="shared" ref="W66" si="61">W64+W65</f>
        <v>1962.6619999999998</v>
      </c>
      <c r="X66" s="4">
        <f>X64+X65</f>
        <v>3101.8139999999999</v>
      </c>
    </row>
    <row r="69" spans="2:26" s="11" customFormat="1" x14ac:dyDescent="0.25">
      <c r="B69" s="10" t="s">
        <v>78</v>
      </c>
      <c r="D69" s="11">
        <f t="shared" ref="D69:J69" si="62">SUM(D40:D47)/SUM(D56:D60)</f>
        <v>1.3796772668962256</v>
      </c>
      <c r="E69" s="11" t="e">
        <f t="shared" si="62"/>
        <v>#DIV/0!</v>
      </c>
      <c r="F69" s="11" t="e">
        <f t="shared" si="62"/>
        <v>#DIV/0!</v>
      </c>
      <c r="G69" s="11" t="e">
        <f t="shared" si="62"/>
        <v>#DIV/0!</v>
      </c>
      <c r="H69" s="11">
        <f t="shared" si="62"/>
        <v>3.7545439546110155</v>
      </c>
      <c r="I69" s="11">
        <f t="shared" si="62"/>
        <v>12.674514590725243</v>
      </c>
      <c r="J69" s="11">
        <f t="shared" si="62"/>
        <v>8.6677857874707254</v>
      </c>
      <c r="K69" s="11">
        <f>SUM(K40:K47)/SUM(K56:K60)</f>
        <v>4.3716403676088085</v>
      </c>
      <c r="L69" s="11" t="e">
        <f t="shared" ref="L69:N69" si="63">SUM(L40:L47)/SUM(L56:L60)</f>
        <v>#DIV/0!</v>
      </c>
      <c r="M69" s="11" t="e">
        <f t="shared" si="63"/>
        <v>#DIV/0!</v>
      </c>
      <c r="N69" s="11" t="e">
        <f t="shared" si="63"/>
        <v>#DIV/0!</v>
      </c>
      <c r="V69" s="11">
        <f t="shared" ref="V69" si="64">SUM(V40:V47)/SUM(V56:V60)</f>
        <v>1.3796772668962256</v>
      </c>
      <c r="W69" s="11">
        <f t="shared" ref="W69" si="65">SUM(W40:W47)/SUM(W56:W60)</f>
        <v>3.7545439546110155</v>
      </c>
      <c r="X69" s="11">
        <f>SUM(X40:X47)/SUM(X56:X60)</f>
        <v>4.3716403676088085</v>
      </c>
    </row>
    <row r="70" spans="2:26" s="11" customFormat="1" x14ac:dyDescent="0.25">
      <c r="B70" s="10" t="s">
        <v>79</v>
      </c>
      <c r="D70" s="11">
        <f t="shared" ref="D70:J70" si="66">D65/D64</f>
        <v>7.8648352927482241</v>
      </c>
      <c r="E70" s="11" t="e">
        <f t="shared" si="66"/>
        <v>#DIV/0!</v>
      </c>
      <c r="F70" s="11" t="e">
        <f t="shared" si="66"/>
        <v>#DIV/0!</v>
      </c>
      <c r="G70" s="11" t="e">
        <f t="shared" si="66"/>
        <v>#DIV/0!</v>
      </c>
      <c r="H70" s="11">
        <f t="shared" si="66"/>
        <v>8.7247660055197418</v>
      </c>
      <c r="I70" s="11">
        <f t="shared" si="66"/>
        <v>2.668055958822753</v>
      </c>
      <c r="J70" s="11">
        <f t="shared" si="66"/>
        <v>2.4663714747549599</v>
      </c>
      <c r="K70" s="11">
        <f>K65/K64</f>
        <v>2.2482244697494882</v>
      </c>
      <c r="L70" s="11" t="e">
        <f t="shared" ref="L70:N70" si="67">L65/L64</f>
        <v>#DIV/0!</v>
      </c>
      <c r="M70" s="11" t="e">
        <f t="shared" si="67"/>
        <v>#DIV/0!</v>
      </c>
      <c r="N70" s="11" t="e">
        <f t="shared" si="67"/>
        <v>#DIV/0!</v>
      </c>
      <c r="V70" s="11">
        <f t="shared" ref="V70" si="68">V65/V64</f>
        <v>7.8648352927482241</v>
      </c>
      <c r="W70" s="11">
        <f t="shared" ref="W70" si="69">W65/W64</f>
        <v>8.7247660055197418</v>
      </c>
      <c r="X70" s="11">
        <f>X65/X64</f>
        <v>2.2482244697494882</v>
      </c>
    </row>
    <row r="71" spans="2:26" s="11" customFormat="1" x14ac:dyDescent="0.25">
      <c r="B71" s="10" t="s">
        <v>80</v>
      </c>
      <c r="D71" s="11">
        <f t="shared" ref="D71:J71" si="70">(D49+D50+D52+D53+D54+D51)/D55</f>
        <v>0.86584171286460465</v>
      </c>
      <c r="E71" s="11" t="e">
        <f t="shared" si="70"/>
        <v>#DIV/0!</v>
      </c>
      <c r="F71" s="11" t="e">
        <f t="shared" si="70"/>
        <v>#DIV/0!</v>
      </c>
      <c r="G71" s="11" t="e">
        <f t="shared" si="70"/>
        <v>#DIV/0!</v>
      </c>
      <c r="H71" s="11">
        <f t="shared" si="70"/>
        <v>0.64057489267128009</v>
      </c>
      <c r="I71" s="11">
        <f t="shared" si="70"/>
        <v>0.55914632720285962</v>
      </c>
      <c r="J71" s="11">
        <f t="shared" si="70"/>
        <v>0.58809227556814103</v>
      </c>
      <c r="K71" s="11">
        <f>(K49+K50+K52+K53+K54+K51)/K55</f>
        <v>0.54451632704314923</v>
      </c>
      <c r="L71" s="11" t="e">
        <f t="shared" ref="L71:N71" si="71">(L49+L50+L52+L53+L54+L51)/L55</f>
        <v>#DIV/0!</v>
      </c>
      <c r="M71" s="11" t="e">
        <f t="shared" si="71"/>
        <v>#DIV/0!</v>
      </c>
      <c r="N71" s="11" t="e">
        <f t="shared" si="71"/>
        <v>#DIV/0!</v>
      </c>
      <c r="V71" s="11">
        <f t="shared" ref="V71" si="72">(V49+V50+V52+V53+V54+V51)/V55</f>
        <v>0.86584171286460465</v>
      </c>
      <c r="W71" s="11">
        <f t="shared" ref="W71" si="73">(W49+W50+W52+W53+W54+W51)/W55</f>
        <v>0.64057489267128009</v>
      </c>
      <c r="X71" s="11">
        <f>(X49+X50+X52+X53+X54+X51)/X55</f>
        <v>0.54451632704314923</v>
      </c>
    </row>
    <row r="73" spans="2:26" s="26" customFormat="1" x14ac:dyDescent="0.25">
      <c r="B73" s="25" t="s">
        <v>217</v>
      </c>
      <c r="E73" s="26">
        <f t="shared" ref="E73:J73" si="74">E55/D55-1</f>
        <v>-1</v>
      </c>
      <c r="F73" s="26" t="e">
        <f t="shared" si="74"/>
        <v>#DIV/0!</v>
      </c>
      <c r="G73" s="26" t="e">
        <f t="shared" si="74"/>
        <v>#DIV/0!</v>
      </c>
      <c r="H73" s="26" t="e">
        <f t="shared" si="74"/>
        <v>#DIV/0!</v>
      </c>
      <c r="I73" s="26">
        <f t="shared" si="74"/>
        <v>0.41607928415590689</v>
      </c>
      <c r="J73" s="26">
        <f t="shared" si="74"/>
        <v>-4.3999445900654188E-2</v>
      </c>
      <c r="K73" s="26">
        <f>K55/J55-1</f>
        <v>0.16741412677013656</v>
      </c>
      <c r="L73" s="26">
        <f t="shared" ref="L73:N73" si="75">L55/K55-1</f>
        <v>-1</v>
      </c>
      <c r="M73" s="26" t="e">
        <f t="shared" si="75"/>
        <v>#DIV/0!</v>
      </c>
      <c r="N73" s="26" t="e">
        <f t="shared" si="75"/>
        <v>#DIV/0!</v>
      </c>
      <c r="W73" s="26">
        <f t="shared" ref="W73" si="76">W55/V55-1</f>
        <v>1.5770991283886877</v>
      </c>
      <c r="X73" s="26">
        <f>X55/W55-1</f>
        <v>0.5804132346782076</v>
      </c>
      <c r="Y73" s="26">
        <f t="shared" ref="Y73:Z73" si="77">Y55/X55-1</f>
        <v>-1</v>
      </c>
      <c r="Z73" s="26" t="e">
        <f t="shared" si="77"/>
        <v>#DIV/0!</v>
      </c>
    </row>
    <row r="74" spans="2:26" s="26" customFormat="1" x14ac:dyDescent="0.25">
      <c r="B74" s="25" t="s">
        <v>218</v>
      </c>
      <c r="E74" s="26">
        <f t="shared" ref="E74:J74" si="78">E49/D49-1</f>
        <v>-1</v>
      </c>
      <c r="F74" s="26" t="e">
        <f t="shared" si="78"/>
        <v>#DIV/0!</v>
      </c>
      <c r="G74" s="26" t="e">
        <f t="shared" si="78"/>
        <v>#DIV/0!</v>
      </c>
      <c r="H74" s="26" t="e">
        <f t="shared" si="78"/>
        <v>#DIV/0!</v>
      </c>
      <c r="I74" s="26">
        <f t="shared" si="78"/>
        <v>0.44418777660622766</v>
      </c>
      <c r="J74" s="26">
        <f t="shared" si="78"/>
        <v>1.2341560509554039E-2</v>
      </c>
      <c r="K74" s="26">
        <f>K49/J49-1</f>
        <v>4.5462803411086661E-2</v>
      </c>
      <c r="L74" s="26">
        <f t="shared" ref="L74:N74" si="79">L49/K49-1</f>
        <v>-1</v>
      </c>
      <c r="M74" s="26" t="e">
        <f t="shared" si="79"/>
        <v>#DIV/0!</v>
      </c>
      <c r="N74" s="26" t="e">
        <f t="shared" si="79"/>
        <v>#DIV/0!</v>
      </c>
      <c r="W74" s="26">
        <f t="shared" ref="W74" si="80">W49/V49-1</f>
        <v>0.54092966805163045</v>
      </c>
      <c r="X74" s="26">
        <f>X49/W49-1</f>
        <v>0.52847844009322831</v>
      </c>
      <c r="Y74" s="26">
        <f t="shared" ref="Y74:Z74" si="81">Y49/X49-1</f>
        <v>-1</v>
      </c>
      <c r="Z74" s="26" t="e">
        <f t="shared" si="81"/>
        <v>#DIV/0!</v>
      </c>
    </row>
    <row r="77" spans="2:26" x14ac:dyDescent="0.25">
      <c r="B77" s="8" t="s">
        <v>81</v>
      </c>
      <c r="D77" s="3">
        <f>D22</f>
        <v>0</v>
      </c>
      <c r="E77" s="3">
        <f t="shared" ref="E77:N77" si="82">E22</f>
        <v>25.911999999999995</v>
      </c>
      <c r="F77" s="3">
        <f t="shared" si="82"/>
        <v>126.73500000000001</v>
      </c>
      <c r="G77" s="3">
        <f t="shared" si="82"/>
        <v>-236.24199999999996</v>
      </c>
      <c r="H77" s="3">
        <f t="shared" si="82"/>
        <v>-58.83799999999998</v>
      </c>
      <c r="I77" s="3">
        <f t="shared" si="82"/>
        <v>246.79099999999997</v>
      </c>
      <c r="J77" s="3">
        <f t="shared" si="82"/>
        <v>-138.79100000000003</v>
      </c>
      <c r="K77" s="3">
        <f t="shared" si="82"/>
        <v>257.399</v>
      </c>
      <c r="L77" s="3">
        <f t="shared" si="82"/>
        <v>0</v>
      </c>
      <c r="M77" s="3">
        <f t="shared" si="82"/>
        <v>0</v>
      </c>
      <c r="N77" s="3">
        <f t="shared" si="82"/>
        <v>0</v>
      </c>
      <c r="O77" s="8"/>
      <c r="P77" s="8"/>
      <c r="Q77" s="8"/>
      <c r="R77" s="8"/>
      <c r="U77" s="3">
        <f t="shared" ref="U77:X77" si="83">U22</f>
        <v>-43.432000000000038</v>
      </c>
      <c r="V77" s="3">
        <f t="shared" si="83"/>
        <v>-133.98899999999995</v>
      </c>
      <c r="W77" s="3">
        <f t="shared" si="83"/>
        <v>-142.43299999999996</v>
      </c>
      <c r="X77" s="3">
        <f t="shared" si="83"/>
        <v>365.399</v>
      </c>
    </row>
    <row r="78" spans="2:26" s="3" customFormat="1" x14ac:dyDescent="0.25">
      <c r="B78" s="9" t="s">
        <v>82</v>
      </c>
      <c r="E78" s="3">
        <v>25.908999999999999</v>
      </c>
      <c r="F78" s="3">
        <v>126.73500000000001</v>
      </c>
      <c r="G78" s="3">
        <v>-236.24200000000002</v>
      </c>
      <c r="H78" s="3">
        <v>-62.178999999999988</v>
      </c>
      <c r="I78" s="3">
        <v>246.791</v>
      </c>
      <c r="J78" s="3">
        <v>-138.792</v>
      </c>
      <c r="K78" s="3">
        <v>257.39</v>
      </c>
      <c r="U78" s="3">
        <f>-57.326+17.237</f>
        <v>-40.088999999999999</v>
      </c>
      <c r="V78" s="3">
        <f>-138.148+4.429</f>
        <v>-133.71899999999999</v>
      </c>
      <c r="W78" s="3">
        <v>-145.77699999999999</v>
      </c>
      <c r="X78" s="3">
        <f>I78+J78+K78+L78</f>
        <v>365.38900000000001</v>
      </c>
    </row>
    <row r="79" spans="2:26" s="3" customFormat="1" x14ac:dyDescent="0.25">
      <c r="B79" s="9" t="s">
        <v>83</v>
      </c>
      <c r="E79" s="3">
        <v>-73.786000000000001</v>
      </c>
      <c r="F79" s="3">
        <v>-111.79900000000001</v>
      </c>
      <c r="G79" s="3">
        <v>-104.10799999999998</v>
      </c>
      <c r="H79" s="3">
        <v>-89.275000000000034</v>
      </c>
      <c r="I79" s="3">
        <v>-162.30600000000001</v>
      </c>
      <c r="J79" s="3">
        <v>-181.71199999999996</v>
      </c>
      <c r="K79" s="3">
        <v>-198.64400000000006</v>
      </c>
      <c r="U79" s="3">
        <v>-131</v>
      </c>
      <c r="V79" s="3">
        <v>-168.12100000000001</v>
      </c>
      <c r="W79" s="3">
        <v>-378.96800000000002</v>
      </c>
      <c r="X79" s="3">
        <f t="shared" ref="X79:X121" si="84">I79+J79+K79+L79</f>
        <v>-542.66200000000003</v>
      </c>
    </row>
    <row r="80" spans="2:26" s="3" customFormat="1" x14ac:dyDescent="0.25">
      <c r="B80" s="9" t="s">
        <v>84</v>
      </c>
      <c r="E80" s="3">
        <v>-36.04</v>
      </c>
      <c r="F80" s="3">
        <v>-119.703</v>
      </c>
      <c r="G80" s="3">
        <v>48.336999999999989</v>
      </c>
      <c r="H80" s="3">
        <v>-6.0169999999999959</v>
      </c>
      <c r="I80" s="3">
        <v>-218.20599999999999</v>
      </c>
      <c r="J80" s="3">
        <v>127.66699999999999</v>
      </c>
      <c r="K80" s="3">
        <v>-268.65100000000001</v>
      </c>
      <c r="U80" s="3">
        <v>133.19999999999999</v>
      </c>
      <c r="V80" s="3">
        <v>116.271</v>
      </c>
      <c r="W80" s="3">
        <v>-113.423</v>
      </c>
      <c r="X80" s="3">
        <f t="shared" si="84"/>
        <v>-359.19</v>
      </c>
    </row>
    <row r="81" spans="2:24" s="3" customFormat="1" x14ac:dyDescent="0.25">
      <c r="B81" s="9" t="s">
        <v>85</v>
      </c>
      <c r="E81" s="3">
        <v>0.26500000000000001</v>
      </c>
      <c r="F81" s="3">
        <v>0.23499999999999999</v>
      </c>
      <c r="G81" s="3">
        <v>0.64599999999999991</v>
      </c>
      <c r="H81" s="3">
        <v>-1.1459999999999999</v>
      </c>
      <c r="I81" s="3">
        <v>0.41399999999999998</v>
      </c>
      <c r="J81" s="3">
        <v>0.49000000000000005</v>
      </c>
      <c r="K81" s="3">
        <v>0.48199999999999987</v>
      </c>
      <c r="U81" s="3">
        <v>-2.5670000000000002</v>
      </c>
      <c r="V81" s="3">
        <v>-1.357</v>
      </c>
      <c r="X81" s="3">
        <f t="shared" si="84"/>
        <v>1.3859999999999999</v>
      </c>
    </row>
    <row r="82" spans="2:24" s="3" customFormat="1" x14ac:dyDescent="0.25">
      <c r="B82" s="9" t="s">
        <v>24</v>
      </c>
      <c r="F82" s="3">
        <v>0.39600000000000002</v>
      </c>
      <c r="G82" s="3">
        <v>189.23500000000001</v>
      </c>
      <c r="H82" s="3">
        <v>8.1260000000000048</v>
      </c>
      <c r="U82" s="3">
        <f>12.048+0.25+12.211</f>
        <v>24.509</v>
      </c>
      <c r="V82" s="3">
        <v>7.1630000000000003</v>
      </c>
      <c r="W82" s="3">
        <f>197.041+0.716</f>
        <v>197.75700000000001</v>
      </c>
    </row>
    <row r="83" spans="2:24" s="3" customFormat="1" x14ac:dyDescent="0.25">
      <c r="B83" s="9" t="s">
        <v>86</v>
      </c>
      <c r="E83" s="3">
        <v>1.2430000000000001</v>
      </c>
      <c r="F83" s="3">
        <v>0.94900000000000007</v>
      </c>
      <c r="G83" s="3">
        <v>-1.1920000000000002</v>
      </c>
      <c r="H83" s="3">
        <v>-3.5000000000000031E-2</v>
      </c>
      <c r="I83" s="3">
        <v>-3.6219999999999999</v>
      </c>
      <c r="J83" s="3">
        <v>4.7409999999999997</v>
      </c>
      <c r="K83" s="3">
        <v>0.42999999999999994</v>
      </c>
      <c r="U83" s="3">
        <f>1.95-0.346</f>
        <v>1.6040000000000001</v>
      </c>
      <c r="V83" s="3">
        <f>0.259-2.484</f>
        <v>-2.2250000000000001</v>
      </c>
      <c r="W83" s="3">
        <v>0.96499999999999997</v>
      </c>
      <c r="X83" s="3">
        <f t="shared" si="84"/>
        <v>1.5489999999999997</v>
      </c>
    </row>
    <row r="84" spans="2:24" s="3" customFormat="1" x14ac:dyDescent="0.25">
      <c r="B84" s="9" t="s">
        <v>87</v>
      </c>
      <c r="H84" s="3">
        <v>-1.3839999999999999</v>
      </c>
      <c r="I84" s="3">
        <v>-42.493000000000002</v>
      </c>
      <c r="K84" s="3">
        <v>-31.353999999999992</v>
      </c>
      <c r="W84" s="3">
        <v>-1.3839999999999999</v>
      </c>
      <c r="X84" s="3">
        <f t="shared" si="84"/>
        <v>-73.846999999999994</v>
      </c>
    </row>
    <row r="85" spans="2:24" s="3" customFormat="1" x14ac:dyDescent="0.25">
      <c r="B85" s="9" t="s">
        <v>88</v>
      </c>
      <c r="E85" s="3">
        <v>9.9529999999999994</v>
      </c>
      <c r="F85" s="3">
        <v>9.7970000000000006</v>
      </c>
      <c r="G85" s="3">
        <v>2.9460000000000015</v>
      </c>
      <c r="H85" s="3">
        <v>6.8589999999999982</v>
      </c>
      <c r="I85" s="3">
        <v>3.0209999999999999</v>
      </c>
      <c r="J85" s="3">
        <v>3.101</v>
      </c>
      <c r="K85" s="3">
        <v>4.4779999999999998</v>
      </c>
      <c r="U85" s="3">
        <v>31.466000000000001</v>
      </c>
      <c r="V85" s="3">
        <v>24.141999999999999</v>
      </c>
      <c r="W85" s="3">
        <v>29.555</v>
      </c>
      <c r="X85" s="3">
        <f t="shared" si="84"/>
        <v>10.6</v>
      </c>
    </row>
    <row r="86" spans="2:24" s="3" customFormat="1" x14ac:dyDescent="0.25">
      <c r="B86" s="9" t="s">
        <v>25</v>
      </c>
      <c r="E86" s="3">
        <v>29.847000000000001</v>
      </c>
      <c r="F86" s="3">
        <v>32.186999999999998</v>
      </c>
      <c r="G86" s="3">
        <v>40.726999999999997</v>
      </c>
      <c r="H86" s="3">
        <v>51.848000000000013</v>
      </c>
      <c r="I86" s="3">
        <v>66.228999999999999</v>
      </c>
      <c r="J86" s="3">
        <v>78.900999999999996</v>
      </c>
      <c r="K86" s="3">
        <v>94.88</v>
      </c>
      <c r="U86" s="3">
        <v>49.045000000000002</v>
      </c>
      <c r="V86" s="3">
        <v>120.72799999999999</v>
      </c>
      <c r="W86" s="3">
        <v>154.60900000000001</v>
      </c>
      <c r="X86" s="3">
        <f t="shared" si="84"/>
        <v>240.01</v>
      </c>
    </row>
    <row r="87" spans="2:24" s="3" customFormat="1" x14ac:dyDescent="0.25">
      <c r="B87" s="9" t="s">
        <v>89</v>
      </c>
      <c r="E87" s="3">
        <v>1.4</v>
      </c>
      <c r="F87" s="3">
        <v>11.593999999999999</v>
      </c>
      <c r="G87" s="3">
        <v>-9.4939999999999998</v>
      </c>
      <c r="H87" s="3">
        <v>-3.5</v>
      </c>
      <c r="I87" s="3">
        <v>9.2170000000000005</v>
      </c>
      <c r="J87" s="3">
        <v>-3.0440000000000005</v>
      </c>
      <c r="K87" s="3">
        <v>18.107999999999997</v>
      </c>
      <c r="X87" s="3">
        <f t="shared" si="84"/>
        <v>24.280999999999999</v>
      </c>
    </row>
    <row r="88" spans="2:24" s="3" customFormat="1" x14ac:dyDescent="0.25">
      <c r="B88" s="9" t="s">
        <v>22</v>
      </c>
      <c r="E88" s="3">
        <v>0.67700000000000005</v>
      </c>
      <c r="F88" s="3">
        <v>1.6520000000000001</v>
      </c>
      <c r="G88" s="3">
        <v>-4.8000000000000043E-2</v>
      </c>
      <c r="H88" s="3">
        <v>3.1850000000000001</v>
      </c>
      <c r="I88" s="3">
        <v>-0.79100000000000004</v>
      </c>
      <c r="J88" s="3">
        <v>-2.23</v>
      </c>
      <c r="K88" s="3">
        <v>0.15599999999999969</v>
      </c>
      <c r="U88" s="3">
        <v>-0.64300000000000002</v>
      </c>
      <c r="V88" s="3">
        <v>1.931</v>
      </c>
      <c r="W88" s="3">
        <v>5.4660000000000002</v>
      </c>
      <c r="X88" s="3">
        <f t="shared" si="84"/>
        <v>-2.8650000000000002</v>
      </c>
    </row>
    <row r="89" spans="2:24" s="3" customFormat="1" x14ac:dyDescent="0.25">
      <c r="B89" s="9" t="s">
        <v>32</v>
      </c>
      <c r="E89" s="3">
        <v>0.121</v>
      </c>
      <c r="F89" s="3">
        <v>5.2999999999999992E-2</v>
      </c>
      <c r="G89" s="3">
        <v>0.13</v>
      </c>
      <c r="H89" s="3">
        <v>0.17000000000000004</v>
      </c>
      <c r="I89" s="3">
        <v>0.373</v>
      </c>
      <c r="J89" s="3">
        <v>1.0449999999999999</v>
      </c>
      <c r="K89" s="3">
        <v>1.1319999999999999</v>
      </c>
      <c r="U89" s="3">
        <f>0.046+0.81+0.183</f>
        <v>1.0390000000000001</v>
      </c>
      <c r="V89" s="3">
        <f>0.069+0.347+0.246</f>
        <v>0.66199999999999992</v>
      </c>
      <c r="W89" s="3">
        <f>0.129+0.162+0.183</f>
        <v>0.47400000000000003</v>
      </c>
      <c r="X89" s="3">
        <f t="shared" si="84"/>
        <v>2.5499999999999998</v>
      </c>
    </row>
    <row r="90" spans="2:24" s="3" customFormat="1" x14ac:dyDescent="0.25">
      <c r="B90" s="9" t="s">
        <v>90</v>
      </c>
      <c r="E90" s="3">
        <v>-0.05</v>
      </c>
      <c r="F90" s="3">
        <v>-4.2999999999999997E-2</v>
      </c>
      <c r="G90" s="3">
        <v>-7.3000000000000009E-2</v>
      </c>
      <c r="H90" s="3">
        <v>-0.12099999999999997</v>
      </c>
      <c r="I90" s="3">
        <v>-0.14799999999999999</v>
      </c>
      <c r="J90" s="3">
        <v>-0.19300000000000003</v>
      </c>
      <c r="K90" s="3">
        <v>-0.315</v>
      </c>
      <c r="U90" s="3">
        <v>-0.104</v>
      </c>
      <c r="V90" s="3">
        <v>-7.0000000000000007E-2</v>
      </c>
      <c r="W90" s="3">
        <v>-0.28699999999999998</v>
      </c>
      <c r="X90" s="3">
        <f t="shared" si="84"/>
        <v>-0.65600000000000003</v>
      </c>
    </row>
    <row r="91" spans="2:24" s="3" customFormat="1" x14ac:dyDescent="0.25">
      <c r="B91" s="9" t="s">
        <v>91</v>
      </c>
      <c r="E91" s="3">
        <v>-6.3150000000000004</v>
      </c>
      <c r="F91" s="3">
        <v>4.532</v>
      </c>
      <c r="G91" s="3">
        <v>16.885000000000002</v>
      </c>
      <c r="H91" s="3">
        <v>4.6189999999999998</v>
      </c>
      <c r="I91" s="3">
        <v>-4.6539999999999999</v>
      </c>
      <c r="J91" s="3">
        <v>-3.6999999999999993</v>
      </c>
      <c r="K91" s="3">
        <v>9.9259999999999984</v>
      </c>
      <c r="U91" s="3">
        <v>16.04</v>
      </c>
      <c r="V91" s="3">
        <v>13.244</v>
      </c>
      <c r="W91" s="3">
        <v>19.721</v>
      </c>
      <c r="X91" s="3">
        <f t="shared" si="84"/>
        <v>1.5719999999999992</v>
      </c>
    </row>
    <row r="92" spans="2:24" s="3" customFormat="1" x14ac:dyDescent="0.25">
      <c r="B92" s="9" t="s">
        <v>53</v>
      </c>
      <c r="E92" s="3">
        <v>-0.5</v>
      </c>
      <c r="F92" s="3">
        <v>-1.4239999999999999</v>
      </c>
      <c r="G92" s="3">
        <v>-2.5840000000000001</v>
      </c>
      <c r="H92" s="3">
        <v>1.141</v>
      </c>
      <c r="I92" s="3">
        <v>-0.8</v>
      </c>
      <c r="J92" s="3">
        <v>-0.82699999999999996</v>
      </c>
      <c r="K92" s="3">
        <v>-2.2590000000000003</v>
      </c>
      <c r="U92" s="3">
        <v>-1.046</v>
      </c>
      <c r="V92" s="3">
        <v>2.5550000000000002</v>
      </c>
      <c r="W92" s="3">
        <v>-3.367</v>
      </c>
      <c r="X92" s="3">
        <f t="shared" si="84"/>
        <v>-3.8860000000000001</v>
      </c>
    </row>
    <row r="93" spans="2:24" s="9" customFormat="1" x14ac:dyDescent="0.25">
      <c r="B93" s="9" t="s">
        <v>64</v>
      </c>
      <c r="E93" s="9">
        <v>-0.4</v>
      </c>
      <c r="F93" s="9">
        <v>0.4</v>
      </c>
      <c r="G93" s="9">
        <v>-3.593</v>
      </c>
      <c r="H93" s="9">
        <v>4.0549999999999997</v>
      </c>
      <c r="I93" s="9">
        <v>-12.477</v>
      </c>
      <c r="J93" s="9">
        <v>2.2699999999999996</v>
      </c>
      <c r="K93" s="9">
        <v>4.3440000000000003</v>
      </c>
      <c r="Q93" s="3"/>
      <c r="S93" s="3"/>
      <c r="T93" s="3"/>
      <c r="U93" s="9">
        <v>-2.1760000000000002</v>
      </c>
      <c r="V93" s="9">
        <f>2.416-2.913</f>
        <v>-0.49699999999999989</v>
      </c>
      <c r="W93" s="9">
        <f>3.344-2.882</f>
        <v>0.46199999999999974</v>
      </c>
      <c r="X93" s="3">
        <f t="shared" si="84"/>
        <v>-5.8630000000000004</v>
      </c>
    </row>
    <row r="94" spans="2:24" s="4" customFormat="1" x14ac:dyDescent="0.25">
      <c r="B94" s="4" t="s">
        <v>92</v>
      </c>
      <c r="D94" s="4">
        <f t="shared" ref="D94:N94" si="85">SUM(D78:D93)</f>
        <v>0</v>
      </c>
      <c r="E94" s="4">
        <f t="shared" si="85"/>
        <v>-47.675999999999995</v>
      </c>
      <c r="F94" s="4">
        <f t="shared" si="85"/>
        <v>-44.439000000000007</v>
      </c>
      <c r="G94" s="4">
        <f t="shared" si="85"/>
        <v>-58.428000000000011</v>
      </c>
      <c r="H94" s="4">
        <f t="shared" si="85"/>
        <v>-83.65399999999994</v>
      </c>
      <c r="I94" s="4">
        <f t="shared" si="85"/>
        <v>-119.45200000000003</v>
      </c>
      <c r="J94" s="4">
        <f t="shared" si="85"/>
        <v>-112.283</v>
      </c>
      <c r="K94" s="4">
        <f t="shared" si="85"/>
        <v>-109.89700000000005</v>
      </c>
      <c r="L94" s="4">
        <f t="shared" si="85"/>
        <v>0</v>
      </c>
      <c r="M94" s="4">
        <f t="shared" si="85"/>
        <v>0</v>
      </c>
      <c r="N94" s="4">
        <f t="shared" si="85"/>
        <v>0</v>
      </c>
      <c r="Q94" s="3"/>
      <c r="S94" s="3"/>
      <c r="T94" s="3"/>
      <c r="U94" s="4">
        <f t="shared" ref="U94" si="86">SUM(U78:U93)</f>
        <v>79.277999999999992</v>
      </c>
      <c r="V94" s="4">
        <f t="shared" ref="V94" si="87">SUM(V78:V93)</f>
        <v>-19.293000000000013</v>
      </c>
      <c r="W94" s="4">
        <f t="shared" ref="W94" si="88">SUM(W78:W93)</f>
        <v>-234.19700000000006</v>
      </c>
      <c r="X94" s="4">
        <f t="shared" ref="X94" si="89">SUM(X78:X93)</f>
        <v>-341.63200000000001</v>
      </c>
    </row>
    <row r="95" spans="2:24" s="3" customFormat="1" x14ac:dyDescent="0.25">
      <c r="B95" s="9" t="s">
        <v>93</v>
      </c>
      <c r="E95" s="3">
        <v>-48.857999999999997</v>
      </c>
      <c r="F95" s="3">
        <v>-159.99199999999999</v>
      </c>
      <c r="G95" s="3">
        <v>-219.85</v>
      </c>
      <c r="H95" s="3">
        <v>-311.59600000000006</v>
      </c>
      <c r="I95" s="3">
        <v>-222.02799999999999</v>
      </c>
      <c r="J95" s="3">
        <v>-31.725999999999999</v>
      </c>
      <c r="K95" s="3">
        <v>-128.53100000000003</v>
      </c>
      <c r="U95" s="3">
        <v>-171.18100000000001</v>
      </c>
      <c r="V95" s="3">
        <v>-239.416</v>
      </c>
      <c r="W95" s="3">
        <v>-740.29600000000005</v>
      </c>
      <c r="X95" s="3">
        <f t="shared" si="84"/>
        <v>-382.28500000000003</v>
      </c>
    </row>
    <row r="96" spans="2:24" s="3" customFormat="1" x14ac:dyDescent="0.25">
      <c r="B96" s="9" t="s">
        <v>95</v>
      </c>
      <c r="E96" s="3">
        <v>-27.503</v>
      </c>
      <c r="F96" s="3">
        <v>-15.482999999999997</v>
      </c>
      <c r="G96" s="3">
        <v>-10.273000000000003</v>
      </c>
      <c r="H96" s="3">
        <v>-12.840999999999994</v>
      </c>
      <c r="I96" s="3">
        <v>-57.359000000000002</v>
      </c>
      <c r="J96" s="3">
        <v>-34.091999999999992</v>
      </c>
      <c r="K96" s="3">
        <v>-42.534999999999997</v>
      </c>
      <c r="U96" s="3">
        <v>-19.286000000000001</v>
      </c>
      <c r="V96" s="3">
        <v>-61.46</v>
      </c>
      <c r="W96" s="3">
        <v>-66.099999999999994</v>
      </c>
      <c r="X96" s="3">
        <f t="shared" si="84"/>
        <v>-133.98599999999999</v>
      </c>
    </row>
    <row r="97" spans="2:24" s="3" customFormat="1" x14ac:dyDescent="0.25">
      <c r="B97" s="9" t="s">
        <v>94</v>
      </c>
      <c r="E97" s="3">
        <v>43.034999999999997</v>
      </c>
      <c r="F97" s="3">
        <v>-43.034999999999997</v>
      </c>
      <c r="K97" s="3">
        <v>-82.152000000000001</v>
      </c>
      <c r="X97" s="3">
        <f t="shared" si="84"/>
        <v>-82.152000000000001</v>
      </c>
    </row>
    <row r="98" spans="2:24" s="3" customFormat="1" x14ac:dyDescent="0.25">
      <c r="B98" s="9" t="s">
        <v>96</v>
      </c>
      <c r="F98" s="3">
        <v>43.103000000000002</v>
      </c>
      <c r="G98" s="3">
        <v>-0.30000000000000426</v>
      </c>
      <c r="H98" s="3">
        <v>0.3230000000000004</v>
      </c>
      <c r="K98" s="3">
        <v>127.625</v>
      </c>
      <c r="W98" s="3">
        <v>43.125999999999998</v>
      </c>
      <c r="X98" s="3">
        <f t="shared" si="84"/>
        <v>127.625</v>
      </c>
    </row>
    <row r="99" spans="2:24" s="3" customFormat="1" x14ac:dyDescent="0.25">
      <c r="B99" s="9" t="s">
        <v>97</v>
      </c>
      <c r="E99" s="3">
        <v>0.50800000000000001</v>
      </c>
      <c r="G99" s="3">
        <v>0.29200000000000004</v>
      </c>
      <c r="H99" s="3">
        <v>-0.8</v>
      </c>
      <c r="I99" s="3">
        <v>30.134</v>
      </c>
      <c r="J99" s="3">
        <v>11.378</v>
      </c>
      <c r="K99" s="3">
        <v>1.3200000000000003</v>
      </c>
      <c r="X99" s="3">
        <f t="shared" si="84"/>
        <v>42.832000000000001</v>
      </c>
    </row>
    <row r="100" spans="2:24" s="3" customFormat="1" x14ac:dyDescent="0.25">
      <c r="B100" s="9" t="s">
        <v>98</v>
      </c>
      <c r="K100" s="3">
        <v>0.40899999999999997</v>
      </c>
      <c r="X100" s="3">
        <f t="shared" si="84"/>
        <v>0.40899999999999997</v>
      </c>
    </row>
    <row r="101" spans="2:24" s="3" customFormat="1" ht="14.4" x14ac:dyDescent="0.3">
      <c r="B101" s="16" t="s">
        <v>99</v>
      </c>
      <c r="I101" s="3">
        <v>1.411</v>
      </c>
      <c r="X101" s="3">
        <f t="shared" si="84"/>
        <v>1.411</v>
      </c>
    </row>
    <row r="102" spans="2:24" s="3" customFormat="1" x14ac:dyDescent="0.25">
      <c r="B102" s="9" t="s">
        <v>100</v>
      </c>
      <c r="K102" s="3">
        <v>-1.413</v>
      </c>
      <c r="X102" s="3">
        <f t="shared" si="84"/>
        <v>-1.413</v>
      </c>
    </row>
    <row r="103" spans="2:24" s="3" customFormat="1" x14ac:dyDescent="0.25">
      <c r="B103" s="9" t="s">
        <v>101</v>
      </c>
      <c r="H103" s="3">
        <v>-28.96</v>
      </c>
      <c r="J103" s="3">
        <v>-5.49</v>
      </c>
      <c r="W103" s="3">
        <f>-3.02-25.94</f>
        <v>-28.96</v>
      </c>
      <c r="X103" s="3">
        <f t="shared" si="84"/>
        <v>-5.49</v>
      </c>
    </row>
    <row r="104" spans="2:24" s="3" customFormat="1" x14ac:dyDescent="0.25">
      <c r="B104" s="9" t="s">
        <v>102</v>
      </c>
      <c r="H104" s="3">
        <v>-18.376000000000001</v>
      </c>
      <c r="I104" s="3">
        <v>-8.1050000000000004</v>
      </c>
      <c r="K104" s="3">
        <v>5.0000000000007816E-3</v>
      </c>
      <c r="W104" s="3">
        <v>-18.376000000000001</v>
      </c>
      <c r="X104" s="3">
        <f t="shared" si="84"/>
        <v>-8.1</v>
      </c>
    </row>
    <row r="105" spans="2:24" s="3" customFormat="1" x14ac:dyDescent="0.25">
      <c r="B105" s="9" t="s">
        <v>103</v>
      </c>
      <c r="G105" s="3">
        <v>-25.931999999999999</v>
      </c>
      <c r="W105" s="3">
        <v>-25.933</v>
      </c>
      <c r="X105" s="3">
        <f t="shared" si="84"/>
        <v>0</v>
      </c>
    </row>
    <row r="106" spans="2:24" s="3" customFormat="1" x14ac:dyDescent="0.25">
      <c r="B106" s="9" t="s">
        <v>104</v>
      </c>
      <c r="F106" s="3">
        <v>-19.771000000000001</v>
      </c>
      <c r="W106" s="3">
        <v>-19.771000000000001</v>
      </c>
      <c r="X106" s="3">
        <f t="shared" si="84"/>
        <v>0</v>
      </c>
    </row>
    <row r="107" spans="2:24" s="3" customFormat="1" x14ac:dyDescent="0.25">
      <c r="B107" s="9" t="s">
        <v>105</v>
      </c>
      <c r="F107" s="3">
        <v>-3.569</v>
      </c>
      <c r="V107" s="3">
        <v>-9.3889999999999993</v>
      </c>
      <c r="W107" s="3">
        <v>-3.569</v>
      </c>
      <c r="X107" s="3">
        <f t="shared" si="84"/>
        <v>0</v>
      </c>
    </row>
    <row r="108" spans="2:24" s="3" customFormat="1" x14ac:dyDescent="0.25">
      <c r="B108" s="9" t="s">
        <v>106</v>
      </c>
      <c r="G108" s="3">
        <v>-1.038</v>
      </c>
      <c r="V108" s="3">
        <v>-1.43</v>
      </c>
      <c r="W108" s="3">
        <v>-1.038</v>
      </c>
      <c r="X108" s="3">
        <f t="shared" si="84"/>
        <v>0</v>
      </c>
    </row>
    <row r="109" spans="2:24" s="3" customFormat="1" x14ac:dyDescent="0.25">
      <c r="B109" s="9" t="s">
        <v>107</v>
      </c>
      <c r="G109" s="3">
        <v>-15</v>
      </c>
      <c r="H109" s="3">
        <v>15</v>
      </c>
      <c r="X109" s="3">
        <f t="shared" si="84"/>
        <v>0</v>
      </c>
    </row>
    <row r="110" spans="2:24" s="9" customFormat="1" x14ac:dyDescent="0.25">
      <c r="B110" s="9" t="s">
        <v>32</v>
      </c>
      <c r="H110" s="9">
        <v>-59.480999999999995</v>
      </c>
      <c r="Q110" s="3"/>
      <c r="S110" s="3"/>
      <c r="T110" s="3"/>
      <c r="U110" s="9">
        <f>-3.4-19.772-0.625+3.5+0.01-0.225</f>
        <v>-20.511999999999997</v>
      </c>
      <c r="V110" s="9">
        <f>-22.518+0.034</f>
        <v>-22.484000000000002</v>
      </c>
      <c r="W110" s="9">
        <f>-60.919+1.438</f>
        <v>-59.480999999999995</v>
      </c>
      <c r="X110" s="3">
        <f t="shared" si="84"/>
        <v>0</v>
      </c>
    </row>
    <row r="111" spans="2:24" s="4" customFormat="1" x14ac:dyDescent="0.25">
      <c r="B111" s="4" t="s">
        <v>108</v>
      </c>
      <c r="D111" s="4">
        <f t="shared" ref="D111:N111" si="90">SUM(D95:D110)</f>
        <v>0</v>
      </c>
      <c r="E111" s="4">
        <f t="shared" si="90"/>
        <v>-32.817999999999991</v>
      </c>
      <c r="F111" s="4">
        <f t="shared" si="90"/>
        <v>-198.74699999999999</v>
      </c>
      <c r="G111" s="4">
        <f t="shared" si="90"/>
        <v>-272.101</v>
      </c>
      <c r="H111" s="4">
        <f t="shared" si="90"/>
        <v>-416.73100000000005</v>
      </c>
      <c r="I111" s="4">
        <f t="shared" si="90"/>
        <v>-255.94699999999997</v>
      </c>
      <c r="J111" s="4">
        <f t="shared" si="90"/>
        <v>-59.929999999999986</v>
      </c>
      <c r="K111" s="4">
        <f t="shared" si="90"/>
        <v>-125.27200000000002</v>
      </c>
      <c r="L111" s="4">
        <f t="shared" si="90"/>
        <v>0</v>
      </c>
      <c r="M111" s="4">
        <f t="shared" si="90"/>
        <v>0</v>
      </c>
      <c r="N111" s="4">
        <f t="shared" si="90"/>
        <v>0</v>
      </c>
      <c r="Q111" s="3"/>
      <c r="S111" s="3"/>
      <c r="T111" s="3"/>
      <c r="U111" s="4">
        <f t="shared" ref="U111" si="91">SUM(U95:U110)</f>
        <v>-210.97900000000001</v>
      </c>
      <c r="V111" s="4">
        <f t="shared" ref="V111" si="92">SUM(V95:V110)</f>
        <v>-334.17899999999997</v>
      </c>
      <c r="W111" s="4">
        <f t="shared" ref="W111" si="93">SUM(W95:W110)</f>
        <v>-920.39800000000002</v>
      </c>
      <c r="X111" s="4">
        <f t="shared" ref="X111" si="94">SUM(X95:X110)</f>
        <v>-441.14900000000006</v>
      </c>
    </row>
    <row r="112" spans="2:24" s="3" customFormat="1" x14ac:dyDescent="0.25">
      <c r="B112" s="9" t="s">
        <v>133</v>
      </c>
      <c r="H112" s="3">
        <v>50</v>
      </c>
      <c r="I112" s="3">
        <v>-145</v>
      </c>
      <c r="U112" s="3">
        <v>19.62</v>
      </c>
      <c r="V112" s="3">
        <v>0.15</v>
      </c>
      <c r="W112" s="3">
        <v>50</v>
      </c>
      <c r="X112" s="3">
        <f t="shared" si="84"/>
        <v>-145</v>
      </c>
    </row>
    <row r="113" spans="2:24" s="3" customFormat="1" x14ac:dyDescent="0.25">
      <c r="B113" s="9" t="s">
        <v>109</v>
      </c>
      <c r="I113" s="3">
        <v>-90.35</v>
      </c>
      <c r="U113" s="9"/>
      <c r="X113" s="3">
        <f t="shared" si="84"/>
        <v>-90.35</v>
      </c>
    </row>
    <row r="114" spans="2:24" s="3" customFormat="1" x14ac:dyDescent="0.25">
      <c r="B114" s="9" t="s">
        <v>110</v>
      </c>
      <c r="E114" s="3">
        <v>-1.7</v>
      </c>
      <c r="F114" s="3">
        <v>-1.7670000000000001</v>
      </c>
      <c r="G114" s="3">
        <v>-1.8290000000000002</v>
      </c>
      <c r="H114" s="3">
        <v>-1.9689999999999994</v>
      </c>
      <c r="I114" s="3">
        <v>-52.158000000000001</v>
      </c>
      <c r="J114" s="3">
        <v>-2.2650000000000006</v>
      </c>
      <c r="K114" s="3">
        <v>-4.0899999999999963</v>
      </c>
      <c r="U114" s="3">
        <v>-2.778</v>
      </c>
      <c r="V114" s="3">
        <v>-14.465999999999999</v>
      </c>
      <c r="W114" s="3">
        <v>-7.2649999999999997</v>
      </c>
      <c r="X114" s="3">
        <f t="shared" si="84"/>
        <v>-58.512999999999998</v>
      </c>
    </row>
    <row r="115" spans="2:24" s="3" customFormat="1" x14ac:dyDescent="0.25">
      <c r="B115" s="9" t="s">
        <v>111</v>
      </c>
      <c r="I115" s="3">
        <v>-2</v>
      </c>
      <c r="X115" s="3">
        <f t="shared" si="84"/>
        <v>-2</v>
      </c>
    </row>
    <row r="116" spans="2:24" s="3" customFormat="1" x14ac:dyDescent="0.25">
      <c r="B116" s="9" t="s">
        <v>112</v>
      </c>
      <c r="F116" s="3">
        <v>-0.57899999999999996</v>
      </c>
      <c r="G116" s="3">
        <v>-2.8419999999999996</v>
      </c>
      <c r="J116" s="3">
        <v>-5.141</v>
      </c>
      <c r="U116" s="3">
        <v>-0.315</v>
      </c>
      <c r="V116" s="3">
        <v>-2.1000000000000001E-2</v>
      </c>
      <c r="W116" s="3">
        <v>-3.4209999999999998</v>
      </c>
      <c r="X116" s="3">
        <f t="shared" si="84"/>
        <v>-5.141</v>
      </c>
    </row>
    <row r="117" spans="2:24" s="3" customFormat="1" x14ac:dyDescent="0.25">
      <c r="B117" s="9" t="s">
        <v>113</v>
      </c>
      <c r="E117" s="3">
        <v>-4.2999999999999997E-2</v>
      </c>
      <c r="F117" s="3">
        <v>-4.3999999999999997E-2</v>
      </c>
      <c r="G117" s="3">
        <v>-3.0000000000000013E-2</v>
      </c>
      <c r="H117" s="3">
        <v>2.4000000000000007E-2</v>
      </c>
      <c r="I117" s="3">
        <v>-2.5999999999999999E-2</v>
      </c>
      <c r="J117" s="3">
        <v>-1.6000000000000004E-2</v>
      </c>
      <c r="K117" s="3">
        <v>8.0000000000000002E-3</v>
      </c>
      <c r="U117" s="3">
        <v>-0.432</v>
      </c>
      <c r="V117" s="3">
        <v>-0.30099999999999999</v>
      </c>
      <c r="W117" s="3">
        <v>-9.2999999999999999E-2</v>
      </c>
      <c r="X117" s="3">
        <f t="shared" si="84"/>
        <v>-3.4000000000000002E-2</v>
      </c>
    </row>
    <row r="118" spans="2:24" s="3" customFormat="1" x14ac:dyDescent="0.25">
      <c r="B118" s="9" t="s">
        <v>122</v>
      </c>
      <c r="I118" s="3">
        <v>635.69500000000005</v>
      </c>
      <c r="K118" s="3">
        <v>176.5</v>
      </c>
      <c r="V118" s="3">
        <v>1.9370000000000001</v>
      </c>
      <c r="X118" s="3">
        <f t="shared" si="84"/>
        <v>812.19500000000005</v>
      </c>
    </row>
    <row r="119" spans="2:24" s="3" customFormat="1" x14ac:dyDescent="0.25">
      <c r="B119" s="9" t="s">
        <v>123</v>
      </c>
      <c r="E119" s="3">
        <v>-7.4729999999999999</v>
      </c>
      <c r="F119" s="3">
        <v>-9.6660000000000004</v>
      </c>
      <c r="G119" s="3">
        <v>-0.10699999999999932</v>
      </c>
      <c r="H119" s="3">
        <v>-5.4390000000000001</v>
      </c>
      <c r="I119" s="3">
        <v>-1.9430000000000001</v>
      </c>
      <c r="N119" s="9"/>
      <c r="O119" s="9"/>
      <c r="U119" s="9"/>
      <c r="V119" s="9">
        <v>-5.5709999999999997</v>
      </c>
      <c r="W119" s="9">
        <v>-22.684999999999999</v>
      </c>
      <c r="X119" s="3">
        <f t="shared" si="84"/>
        <v>-1.9430000000000001</v>
      </c>
    </row>
    <row r="120" spans="2:24" s="3" customFormat="1" x14ac:dyDescent="0.25">
      <c r="B120" s="9" t="s">
        <v>114</v>
      </c>
      <c r="E120" s="3">
        <v>3.5999999999999997E-2</v>
      </c>
      <c r="F120" s="3">
        <v>0.505</v>
      </c>
      <c r="G120" s="3">
        <v>0.12</v>
      </c>
      <c r="H120" s="3">
        <v>9.1999999999999971E-2</v>
      </c>
      <c r="I120" s="3">
        <v>0.11</v>
      </c>
      <c r="J120" s="3">
        <v>4.3999999999999997E-2</v>
      </c>
      <c r="K120" s="3">
        <v>0.34499999999999997</v>
      </c>
      <c r="N120" s="9"/>
      <c r="U120" s="9">
        <v>0.81699999999999995</v>
      </c>
      <c r="V120" s="9"/>
      <c r="W120" s="9">
        <v>0.753</v>
      </c>
      <c r="X120" s="3">
        <f t="shared" si="84"/>
        <v>0.499</v>
      </c>
    </row>
    <row r="121" spans="2:24" s="9" customFormat="1" x14ac:dyDescent="0.25">
      <c r="B121" s="9" t="s">
        <v>115</v>
      </c>
      <c r="E121" s="9">
        <v>108.926</v>
      </c>
      <c r="F121" s="9">
        <v>529.73799999999994</v>
      </c>
      <c r="G121" s="9">
        <v>141.37900000000002</v>
      </c>
      <c r="H121" s="9">
        <v>451.79100000000005</v>
      </c>
      <c r="I121" s="9">
        <v>186.80699999999999</v>
      </c>
      <c r="K121" s="9">
        <v>-7.9999999999813554E-3</v>
      </c>
      <c r="Q121" s="3"/>
      <c r="S121" s="3"/>
      <c r="T121" s="3"/>
      <c r="U121" s="9">
        <v>123.03400000000001</v>
      </c>
      <c r="V121" s="9">
        <v>376.2</v>
      </c>
      <c r="W121" s="9">
        <v>1231.8340000000001</v>
      </c>
      <c r="X121" s="3">
        <f t="shared" si="84"/>
        <v>186.79900000000001</v>
      </c>
    </row>
    <row r="122" spans="2:24" s="4" customFormat="1" x14ac:dyDescent="0.25">
      <c r="B122" s="4" t="s">
        <v>116</v>
      </c>
      <c r="D122" s="4">
        <f t="shared" ref="D122:N122" si="95">SUM(D112:D121)</f>
        <v>0</v>
      </c>
      <c r="E122" s="4">
        <f t="shared" si="95"/>
        <v>99.746000000000009</v>
      </c>
      <c r="F122" s="4">
        <f t="shared" si="95"/>
        <v>518.1869999999999</v>
      </c>
      <c r="G122" s="4">
        <f t="shared" si="95"/>
        <v>136.69100000000003</v>
      </c>
      <c r="H122" s="4">
        <f t="shared" si="95"/>
        <v>494.49900000000002</v>
      </c>
      <c r="I122" s="4">
        <f t="shared" si="95"/>
        <v>531.1350000000001</v>
      </c>
      <c r="J122" s="4">
        <f t="shared" si="95"/>
        <v>-7.378000000000001</v>
      </c>
      <c r="K122" s="4">
        <f t="shared" si="95"/>
        <v>172.75500000000002</v>
      </c>
      <c r="L122" s="4">
        <f t="shared" si="95"/>
        <v>0</v>
      </c>
      <c r="M122" s="4">
        <f t="shared" si="95"/>
        <v>0</v>
      </c>
      <c r="N122" s="4">
        <f t="shared" si="95"/>
        <v>0</v>
      </c>
      <c r="Q122" s="3"/>
      <c r="S122" s="3"/>
      <c r="T122" s="3"/>
      <c r="U122" s="4">
        <f t="shared" ref="U122" si="96">SUM(U112:U121)</f>
        <v>139.946</v>
      </c>
      <c r="V122" s="4">
        <f t="shared" ref="V122" si="97">SUM(V112:V121)</f>
        <v>357.928</v>
      </c>
      <c r="W122" s="4">
        <f t="shared" ref="W122" si="98">SUM(W112:W121)</f>
        <v>1249.123</v>
      </c>
      <c r="X122" s="4">
        <f t="shared" ref="X122" si="99">SUM(X112:X121)</f>
        <v>696.51200000000006</v>
      </c>
    </row>
    <row r="123" spans="2:24" s="4" customFormat="1" x14ac:dyDescent="0.25">
      <c r="B123" s="4" t="s">
        <v>117</v>
      </c>
      <c r="D123" s="4">
        <f t="shared" ref="D123:N123" si="100">D94+D111+D122</f>
        <v>0</v>
      </c>
      <c r="E123" s="4">
        <f t="shared" si="100"/>
        <v>19.252000000000024</v>
      </c>
      <c r="F123" s="4">
        <f t="shared" si="100"/>
        <v>275.00099999999992</v>
      </c>
      <c r="G123" s="4">
        <f t="shared" si="100"/>
        <v>-193.83799999999997</v>
      </c>
      <c r="H123" s="4">
        <f t="shared" si="100"/>
        <v>-5.8859999999999673</v>
      </c>
      <c r="I123" s="4">
        <f t="shared" si="100"/>
        <v>155.7360000000001</v>
      </c>
      <c r="J123" s="4">
        <f t="shared" si="100"/>
        <v>-179.59100000000001</v>
      </c>
      <c r="K123" s="4">
        <f t="shared" si="100"/>
        <v>-62.414000000000044</v>
      </c>
      <c r="L123" s="4">
        <f t="shared" si="100"/>
        <v>0</v>
      </c>
      <c r="M123" s="4">
        <f t="shared" si="100"/>
        <v>0</v>
      </c>
      <c r="N123" s="4">
        <f t="shared" si="100"/>
        <v>0</v>
      </c>
      <c r="Q123" s="3"/>
      <c r="S123" s="3"/>
      <c r="T123" s="3"/>
      <c r="U123" s="4">
        <f t="shared" ref="U123" si="101">U94+U111+U122</f>
        <v>8.2449999999999761</v>
      </c>
      <c r="V123" s="4">
        <f t="shared" ref="V123" si="102">V94+V111+V122</f>
        <v>4.4560000000000173</v>
      </c>
      <c r="W123" s="4">
        <f t="shared" ref="W123" si="103">W94+W111+W122</f>
        <v>94.52800000000002</v>
      </c>
      <c r="X123" s="4">
        <f t="shared" ref="X123" si="104">X94+X111+X122</f>
        <v>-86.269000000000005</v>
      </c>
    </row>
    <row r="125" spans="2:24" s="3" customFormat="1" x14ac:dyDescent="0.25">
      <c r="B125" s="9" t="s">
        <v>213</v>
      </c>
      <c r="D125" s="3">
        <f t="shared" ref="D125:J125" si="105">D95+D96+SUM(D102:D108)</f>
        <v>0</v>
      </c>
      <c r="E125" s="3">
        <f t="shared" si="105"/>
        <v>-76.36099999999999</v>
      </c>
      <c r="F125" s="3">
        <f t="shared" si="105"/>
        <v>-198.815</v>
      </c>
      <c r="G125" s="3">
        <f t="shared" si="105"/>
        <v>-257.09299999999996</v>
      </c>
      <c r="H125" s="3">
        <f t="shared" si="105"/>
        <v>-371.77300000000008</v>
      </c>
      <c r="I125" s="3">
        <f t="shared" si="105"/>
        <v>-287.49200000000002</v>
      </c>
      <c r="J125" s="3">
        <f t="shared" si="105"/>
        <v>-71.307999999999979</v>
      </c>
      <c r="K125" s="3">
        <f>K95+K96+SUM(K102:K108)</f>
        <v>-172.47400000000002</v>
      </c>
      <c r="L125" s="3">
        <f t="shared" ref="L125:N125" si="106">L95+L96+SUM(L102:L108)</f>
        <v>0</v>
      </c>
      <c r="M125" s="3">
        <f t="shared" si="106"/>
        <v>0</v>
      </c>
      <c r="N125" s="3">
        <f t="shared" si="106"/>
        <v>0</v>
      </c>
      <c r="U125" s="3">
        <f t="shared" ref="U125:X125" si="107">U95+U96+SUM(U102:U108)</f>
        <v>-190.46700000000001</v>
      </c>
      <c r="V125" s="3">
        <f t="shared" si="107"/>
        <v>-311.69499999999999</v>
      </c>
      <c r="W125" s="3">
        <f t="shared" si="107"/>
        <v>-904.04300000000012</v>
      </c>
      <c r="X125" s="3">
        <f t="shared" si="107"/>
        <v>-531.274</v>
      </c>
    </row>
    <row r="126" spans="2:24" s="3" customFormat="1" x14ac:dyDescent="0.25">
      <c r="B126" s="9" t="s">
        <v>118</v>
      </c>
      <c r="D126" s="3">
        <f t="shared" ref="D126:J126" si="108">D94+D125</f>
        <v>0</v>
      </c>
      <c r="E126" s="3">
        <f t="shared" si="108"/>
        <v>-124.03699999999998</v>
      </c>
      <c r="F126" s="3">
        <f t="shared" si="108"/>
        <v>-243.25400000000002</v>
      </c>
      <c r="G126" s="3">
        <f t="shared" si="108"/>
        <v>-315.52099999999996</v>
      </c>
      <c r="H126" s="3">
        <f t="shared" si="108"/>
        <v>-455.42700000000002</v>
      </c>
      <c r="I126" s="3">
        <f t="shared" si="108"/>
        <v>-406.94400000000007</v>
      </c>
      <c r="J126" s="3">
        <f t="shared" si="108"/>
        <v>-183.59099999999998</v>
      </c>
      <c r="K126" s="3">
        <f>K94+K125</f>
        <v>-282.37100000000009</v>
      </c>
      <c r="L126" s="3">
        <f t="shared" ref="L126:N126" si="109">L94+L125</f>
        <v>0</v>
      </c>
      <c r="M126" s="3">
        <f t="shared" si="109"/>
        <v>0</v>
      </c>
      <c r="N126" s="3">
        <f t="shared" si="109"/>
        <v>0</v>
      </c>
      <c r="U126" s="3">
        <f t="shared" ref="U126" si="110">U94+U125</f>
        <v>-111.18900000000002</v>
      </c>
      <c r="V126" s="3">
        <f t="shared" ref="V126" si="111">V94+V125</f>
        <v>-330.988</v>
      </c>
      <c r="W126" s="3">
        <f t="shared" ref="W126" si="112">W94+W125</f>
        <v>-1138.2400000000002</v>
      </c>
      <c r="X126" s="3">
        <f t="shared" ref="X126" si="113">X94+X125</f>
        <v>-872.90599999999995</v>
      </c>
    </row>
    <row r="127" spans="2:24" s="26" customFormat="1" x14ac:dyDescent="0.25">
      <c r="B127" s="25" t="s">
        <v>119</v>
      </c>
      <c r="D127" s="26" t="e">
        <f t="shared" ref="D127:J127" si="114">D126/D3</f>
        <v>#DIV/0!</v>
      </c>
      <c r="E127" s="26">
        <f t="shared" si="114"/>
        <v>-1.6810370530995036</v>
      </c>
      <c r="F127" s="26">
        <f t="shared" si="114"/>
        <v>-2.175815526078051</v>
      </c>
      <c r="G127" s="26">
        <f t="shared" si="114"/>
        <v>-3.0307084950243972</v>
      </c>
      <c r="H127" s="26">
        <f t="shared" si="114"/>
        <v>-5.1013945673480814</v>
      </c>
      <c r="I127" s="26">
        <f t="shared" si="114"/>
        <v>-2.5072640567816351</v>
      </c>
      <c r="J127" s="26">
        <f t="shared" si="114"/>
        <v>-1.0103405388747029</v>
      </c>
      <c r="K127" s="26">
        <f>K126/K3</f>
        <v>-1.4214927206459802</v>
      </c>
      <c r="L127" s="26" t="e">
        <f t="shared" ref="L127:N127" si="115">L126/L3</f>
        <v>#DIV/0!</v>
      </c>
      <c r="M127" s="26" t="e">
        <f t="shared" si="115"/>
        <v>#DIV/0!</v>
      </c>
      <c r="N127" s="26" t="e">
        <f t="shared" si="115"/>
        <v>#DIV/0!</v>
      </c>
      <c r="U127" s="26">
        <f t="shared" ref="U127" si="116">U126/U3</f>
        <v>-0.8453830070328836</v>
      </c>
      <c r="V127" s="26">
        <f t="shared" ref="V127" si="117">V126/V3</f>
        <v>-1.96539356800152</v>
      </c>
      <c r="W127" s="26">
        <f t="shared" ref="W127" si="118">W126/W3</f>
        <v>-3.0035253636190924</v>
      </c>
      <c r="X127" s="26">
        <f t="shared" ref="X127" si="119">X126/X3</f>
        <v>-1.6085629729002582</v>
      </c>
    </row>
    <row r="128" spans="2:24" s="26" customFormat="1" x14ac:dyDescent="0.25">
      <c r="B128" s="25" t="s">
        <v>120</v>
      </c>
      <c r="D128" s="26" t="e">
        <f t="shared" ref="D128:J128" si="120">D125/D78</f>
        <v>#DIV/0!</v>
      </c>
      <c r="E128" s="26">
        <f t="shared" si="120"/>
        <v>-2.9472770079895017</v>
      </c>
      <c r="F128" s="26">
        <f t="shared" si="120"/>
        <v>-1.5687458081824277</v>
      </c>
      <c r="G128" s="26">
        <f t="shared" si="120"/>
        <v>1.088261189796903</v>
      </c>
      <c r="H128" s="26">
        <f t="shared" si="120"/>
        <v>5.97907653709452</v>
      </c>
      <c r="I128" s="26">
        <f t="shared" si="120"/>
        <v>-1.1649209249932129</v>
      </c>
      <c r="J128" s="26">
        <f t="shared" si="120"/>
        <v>0.51377601014467678</v>
      </c>
      <c r="K128" s="26">
        <f>K125/K78</f>
        <v>-0.67008819301449174</v>
      </c>
      <c r="L128" s="26" t="e">
        <f t="shared" ref="L128:N128" si="121">L125/L78</f>
        <v>#DIV/0!</v>
      </c>
      <c r="M128" s="26" t="e">
        <f t="shared" si="121"/>
        <v>#DIV/0!</v>
      </c>
      <c r="N128" s="26" t="e">
        <f t="shared" si="121"/>
        <v>#DIV/0!</v>
      </c>
      <c r="U128" s="26">
        <f t="shared" ref="U128:X128" si="122">U125/U78</f>
        <v>4.7511037940582206</v>
      </c>
      <c r="V128" s="26">
        <f t="shared" si="122"/>
        <v>2.3309701687867843</v>
      </c>
      <c r="W128" s="26">
        <f t="shared" si="122"/>
        <v>6.2015475692324591</v>
      </c>
      <c r="X128" s="26">
        <f t="shared" si="122"/>
        <v>-1.4539956046843228</v>
      </c>
    </row>
    <row r="129" spans="2:24" s="26" customFormat="1" x14ac:dyDescent="0.25">
      <c r="B129" s="25" t="s">
        <v>121</v>
      </c>
      <c r="H129" s="26" t="e">
        <f t="shared" ref="H129:J129" si="123">H126/D126-1</f>
        <v>#DIV/0!</v>
      </c>
      <c r="I129" s="26">
        <f t="shared" si="123"/>
        <v>2.2808274950216481</v>
      </c>
      <c r="J129" s="26">
        <f t="shared" si="123"/>
        <v>-0.24527037582115829</v>
      </c>
      <c r="K129" s="26">
        <f>K126/G126-1</f>
        <v>-0.10506432218457684</v>
      </c>
      <c r="L129" s="26">
        <f t="shared" ref="L129:N129" si="124">L126/H126-1</f>
        <v>-1</v>
      </c>
      <c r="M129" s="26">
        <f t="shared" si="124"/>
        <v>-1</v>
      </c>
      <c r="N129" s="26">
        <f t="shared" si="124"/>
        <v>-1</v>
      </c>
      <c r="V129" s="26">
        <f t="shared" ref="V129" si="125">V126/U126-1</f>
        <v>1.9768052595130809</v>
      </c>
      <c r="W129" s="26">
        <f>W126/V126-1</f>
        <v>2.438916214485118</v>
      </c>
      <c r="X129" s="26">
        <f t="shared" ref="X129" si="126">X126/W126-1</f>
        <v>-0.23310901040202436</v>
      </c>
    </row>
    <row r="130" spans="2:24" x14ac:dyDescent="0.25">
      <c r="I130" s="8" t="s">
        <v>214</v>
      </c>
    </row>
    <row r="133" spans="2:24" s="20" customFormat="1" x14ac:dyDescent="0.25">
      <c r="B133" s="19" t="s">
        <v>163</v>
      </c>
      <c r="D133" s="20">
        <v>2243</v>
      </c>
      <c r="H133" s="20">
        <v>6819</v>
      </c>
      <c r="I133" s="20">
        <v>9952</v>
      </c>
      <c r="J133" s="20">
        <v>11869</v>
      </c>
      <c r="K133" s="20">
        <v>10075</v>
      </c>
    </row>
    <row r="134" spans="2:24" s="20" customFormat="1" x14ac:dyDescent="0.25">
      <c r="B134" s="19" t="s">
        <v>164</v>
      </c>
      <c r="D134" s="20">
        <v>25074</v>
      </c>
      <c r="H134" s="20">
        <v>55408</v>
      </c>
      <c r="I134" s="20">
        <v>72104</v>
      </c>
      <c r="J134" s="20">
        <v>75660</v>
      </c>
      <c r="K134" s="20">
        <v>94058</v>
      </c>
    </row>
    <row r="135" spans="2:24" s="20" customFormat="1" x14ac:dyDescent="0.25">
      <c r="B135" s="19" t="s">
        <v>165</v>
      </c>
      <c r="D135" s="20">
        <v>26961</v>
      </c>
      <c r="H135" s="20">
        <v>63301</v>
      </c>
      <c r="I135" s="20">
        <v>93356</v>
      </c>
      <c r="J135" s="20">
        <v>82537</v>
      </c>
      <c r="K135" s="20">
        <v>107173</v>
      </c>
    </row>
    <row r="137" spans="2:24" x14ac:dyDescent="0.25">
      <c r="B137" s="8"/>
    </row>
    <row r="139" spans="2:24" x14ac:dyDescent="0.25">
      <c r="B139" s="21" t="s">
        <v>60</v>
      </c>
    </row>
    <row r="140" spans="2:24" s="3" customFormat="1" x14ac:dyDescent="0.25">
      <c r="B140" s="9" t="s">
        <v>152</v>
      </c>
      <c r="D140" s="3">
        <v>4.1440000000000001</v>
      </c>
      <c r="H140" s="3">
        <v>32.19</v>
      </c>
      <c r="I140" s="3">
        <v>39.033999999999999</v>
      </c>
      <c r="J140" s="3">
        <v>39.033999999999999</v>
      </c>
      <c r="K140" s="3">
        <v>39.298999999999999</v>
      </c>
    </row>
    <row r="141" spans="2:24" s="3" customFormat="1" x14ac:dyDescent="0.25">
      <c r="B141" s="9" t="s">
        <v>166</v>
      </c>
      <c r="D141" s="3">
        <v>1.5640000000000001</v>
      </c>
      <c r="H141" s="3">
        <v>5.4489999999999998</v>
      </c>
      <c r="I141" s="3">
        <v>6.11</v>
      </c>
      <c r="J141" s="3">
        <v>6.1210000000000004</v>
      </c>
      <c r="K141" s="3">
        <v>9.69</v>
      </c>
    </row>
    <row r="142" spans="2:24" s="3" customFormat="1" x14ac:dyDescent="0.25">
      <c r="B142" s="9" t="s">
        <v>167</v>
      </c>
      <c r="D142" s="3">
        <v>52.198</v>
      </c>
      <c r="H142" s="3">
        <v>76.718999999999994</v>
      </c>
      <c r="I142" s="3">
        <v>78.918999999999997</v>
      </c>
      <c r="J142" s="3">
        <v>79.763999999999996</v>
      </c>
      <c r="K142" s="3">
        <v>91.783000000000001</v>
      </c>
    </row>
    <row r="143" spans="2:24" s="3" customFormat="1" x14ac:dyDescent="0.25">
      <c r="B143" s="9" t="s">
        <v>157</v>
      </c>
      <c r="D143" s="3">
        <v>0.67200000000000004</v>
      </c>
      <c r="H143" s="3">
        <v>1.9950000000000001</v>
      </c>
      <c r="I143" s="3">
        <v>1.9950000000000001</v>
      </c>
      <c r="J143" s="3">
        <v>2.4710000000000001</v>
      </c>
      <c r="K143" s="3">
        <v>2.9409999999999998</v>
      </c>
    </row>
    <row r="144" spans="2:24" s="3" customFormat="1" x14ac:dyDescent="0.25">
      <c r="B144" s="9" t="s">
        <v>168</v>
      </c>
      <c r="D144" s="3">
        <v>527.86800000000005</v>
      </c>
      <c r="H144" s="3">
        <v>1035.1279999999999</v>
      </c>
      <c r="I144" s="3">
        <v>1371.0150000000001</v>
      </c>
      <c r="J144" s="3">
        <v>1187.4390000000001</v>
      </c>
      <c r="K144" s="3">
        <v>1320.655</v>
      </c>
    </row>
    <row r="145" spans="2:23" s="3" customFormat="1" x14ac:dyDescent="0.25">
      <c r="B145" s="9" t="s">
        <v>169</v>
      </c>
      <c r="D145" s="3">
        <v>18.706</v>
      </c>
      <c r="H145" s="3">
        <v>23.065999999999999</v>
      </c>
      <c r="I145" s="3">
        <v>23.169</v>
      </c>
      <c r="J145" s="3">
        <v>23.282</v>
      </c>
      <c r="K145" s="3">
        <v>24.774000000000001</v>
      </c>
    </row>
    <row r="146" spans="2:23" s="3" customFormat="1" x14ac:dyDescent="0.25">
      <c r="B146" s="9" t="s">
        <v>151</v>
      </c>
      <c r="D146" s="3">
        <v>45.612000000000002</v>
      </c>
      <c r="H146" s="3">
        <v>155.191</v>
      </c>
      <c r="I146" s="3">
        <v>201.11699999999999</v>
      </c>
      <c r="J146" s="3">
        <v>248.30799999999999</v>
      </c>
      <c r="K146" s="3">
        <v>287.53500000000003</v>
      </c>
    </row>
    <row r="147" spans="2:23" s="3" customFormat="1" x14ac:dyDescent="0.25">
      <c r="B147" s="9" t="s">
        <v>170</v>
      </c>
      <c r="D147" s="3">
        <v>1.907</v>
      </c>
      <c r="H147" s="3">
        <v>15.061</v>
      </c>
      <c r="I147" s="3">
        <v>13.31</v>
      </c>
      <c r="J147" s="3">
        <v>16.324000000000002</v>
      </c>
      <c r="K147" s="3">
        <v>16.420000000000002</v>
      </c>
    </row>
    <row r="148" spans="2:23" s="3" customFormat="1" x14ac:dyDescent="0.25">
      <c r="B148" s="9" t="s">
        <v>171</v>
      </c>
      <c r="D148" s="3">
        <v>0.38600000000000001</v>
      </c>
      <c r="H148" s="3">
        <v>1.706</v>
      </c>
      <c r="I148" s="3">
        <v>2.0139999999999998</v>
      </c>
      <c r="J148" s="3">
        <v>2.1589999999999998</v>
      </c>
      <c r="K148" s="3">
        <v>2.335</v>
      </c>
    </row>
    <row r="149" spans="2:23" s="3" customFormat="1" x14ac:dyDescent="0.25">
      <c r="B149" s="9" t="s">
        <v>162</v>
      </c>
      <c r="D149" s="3">
        <v>81.875</v>
      </c>
      <c r="H149" s="3">
        <v>19.454999999999998</v>
      </c>
      <c r="I149" s="3">
        <v>52.466999999999999</v>
      </c>
      <c r="J149" s="3">
        <v>37.616</v>
      </c>
      <c r="K149" s="3">
        <v>17.18</v>
      </c>
    </row>
    <row r="150" spans="2:23" s="3" customFormat="1" x14ac:dyDescent="0.25">
      <c r="B150" s="9" t="s">
        <v>172</v>
      </c>
      <c r="D150" s="3">
        <v>-170.53700000000001</v>
      </c>
      <c r="H150" s="3">
        <v>-496.267</v>
      </c>
      <c r="I150" s="3">
        <v>-536.15</v>
      </c>
      <c r="J150" s="3">
        <v>-371.017</v>
      </c>
      <c r="K150" s="3">
        <v>-483.30500000000001</v>
      </c>
    </row>
    <row r="151" spans="2:23" s="4" customFormat="1" x14ac:dyDescent="0.25">
      <c r="B151" s="4" t="s">
        <v>173</v>
      </c>
      <c r="D151" s="4">
        <f t="shared" ref="D151:J151" si="127">SUM(D140:D150)</f>
        <v>564.39499999999998</v>
      </c>
      <c r="E151" s="4">
        <f t="shared" si="127"/>
        <v>0</v>
      </c>
      <c r="F151" s="4">
        <f t="shared" si="127"/>
        <v>0</v>
      </c>
      <c r="G151" s="4">
        <f t="shared" si="127"/>
        <v>0</v>
      </c>
      <c r="H151" s="4">
        <f t="shared" si="127"/>
        <v>869.69299999999976</v>
      </c>
      <c r="I151" s="4">
        <f t="shared" si="127"/>
        <v>1253</v>
      </c>
      <c r="J151" s="4">
        <f t="shared" si="127"/>
        <v>1271.5010000000002</v>
      </c>
      <c r="K151" s="4">
        <f>SUM(K140:K150)</f>
        <v>1329.307</v>
      </c>
      <c r="L151" s="4">
        <f t="shared" ref="L151:N151" si="128">SUM(L140:L150)</f>
        <v>0</v>
      </c>
      <c r="M151" s="4">
        <f t="shared" si="128"/>
        <v>0</v>
      </c>
      <c r="N151" s="4">
        <f t="shared" si="128"/>
        <v>0</v>
      </c>
    </row>
    <row r="155" spans="2:23" s="3" customFormat="1" x14ac:dyDescent="0.25">
      <c r="B155" s="9" t="s">
        <v>174</v>
      </c>
      <c r="D155" s="3">
        <v>291.8</v>
      </c>
      <c r="E155" s="3">
        <v>558.4</v>
      </c>
      <c r="F155" s="3">
        <v>566</v>
      </c>
      <c r="G155" s="3">
        <v>558</v>
      </c>
      <c r="H155" s="3">
        <v>627</v>
      </c>
      <c r="I155" s="3">
        <v>803</v>
      </c>
      <c r="J155" s="3">
        <v>835</v>
      </c>
      <c r="K155" s="3">
        <v>881</v>
      </c>
      <c r="U155" s="3">
        <v>244.8</v>
      </c>
      <c r="V155" s="3">
        <v>291.8</v>
      </c>
      <c r="W155" s="3">
        <v>627</v>
      </c>
    </row>
    <row r="156" spans="2:23" s="3" customFormat="1" x14ac:dyDescent="0.25">
      <c r="B156" s="9" t="s">
        <v>175</v>
      </c>
      <c r="D156" s="3">
        <v>28.4</v>
      </c>
      <c r="E156" s="3">
        <v>26.4</v>
      </c>
      <c r="F156" s="3">
        <v>24.6</v>
      </c>
      <c r="G156" s="3">
        <v>22.3</v>
      </c>
      <c r="H156" s="3">
        <v>21.9</v>
      </c>
      <c r="I156" s="3">
        <v>17.600000000000001</v>
      </c>
      <c r="J156" s="3">
        <v>17</v>
      </c>
      <c r="K156" s="3">
        <v>16.2</v>
      </c>
      <c r="U156" s="3">
        <v>30.1</v>
      </c>
      <c r="V156" s="3">
        <v>28.4</v>
      </c>
      <c r="W156" s="3">
        <v>21.9</v>
      </c>
    </row>
    <row r="157" spans="2:23" s="3" customFormat="1" x14ac:dyDescent="0.25">
      <c r="B157" s="9" t="s">
        <v>176</v>
      </c>
      <c r="D157" s="3">
        <v>9.6</v>
      </c>
      <c r="E157" s="3">
        <v>10</v>
      </c>
      <c r="F157" s="3">
        <v>16.399999999999999</v>
      </c>
      <c r="G157" s="3">
        <v>20.399999999999999</v>
      </c>
      <c r="H157" s="3">
        <v>27.6</v>
      </c>
      <c r="I157" s="3">
        <v>39.1</v>
      </c>
      <c r="J157" s="3">
        <v>42.4</v>
      </c>
      <c r="K157" s="3">
        <v>45.3</v>
      </c>
      <c r="U157" s="3">
        <v>4.2</v>
      </c>
      <c r="V157" s="3">
        <v>9.6</v>
      </c>
      <c r="W157" s="3">
        <v>27.6</v>
      </c>
    </row>
    <row r="158" spans="2:23" s="7" customFormat="1" x14ac:dyDescent="0.25">
      <c r="B158" s="22" t="s">
        <v>177</v>
      </c>
      <c r="D158" s="7">
        <v>2.4500000000000001E-2</v>
      </c>
      <c r="E158" s="7">
        <v>1.7999999999999999E-2</v>
      </c>
      <c r="F158" s="7">
        <v>2.9000000000000001E-2</v>
      </c>
      <c r="G158" s="7">
        <v>3.6600000000000001E-2</v>
      </c>
      <c r="H158" s="7">
        <v>4.3999999999999997E-2</v>
      </c>
      <c r="I158" s="7">
        <v>4.87E-2</v>
      </c>
      <c r="J158" s="7">
        <v>5.0799999999999998E-2</v>
      </c>
      <c r="K158" s="7">
        <v>5.1400000000000001E-2</v>
      </c>
      <c r="U158" s="7">
        <v>1.72E-2</v>
      </c>
      <c r="V158" s="7">
        <v>2.4500000000000001E-2</v>
      </c>
      <c r="W158" s="7">
        <v>4.3999999999999997E-2</v>
      </c>
    </row>
    <row r="159" spans="2:23" s="7" customFormat="1" x14ac:dyDescent="0.25">
      <c r="B159" s="22"/>
    </row>
    <row r="161" spans="2:24" x14ac:dyDescent="0.25">
      <c r="B161" s="14" t="s">
        <v>198</v>
      </c>
    </row>
    <row r="162" spans="2:24" s="20" customFormat="1" x14ac:dyDescent="0.25">
      <c r="B162" s="19" t="s">
        <v>178</v>
      </c>
      <c r="E162" s="20">
        <v>12783</v>
      </c>
      <c r="F162" s="20">
        <v>14694</v>
      </c>
      <c r="G162" s="20">
        <v>26857</v>
      </c>
      <c r="H162" s="20">
        <v>21308</v>
      </c>
      <c r="I162" s="20">
        <v>33928</v>
      </c>
      <c r="J162" s="20">
        <v>42664</v>
      </c>
      <c r="K162" s="20">
        <v>44690</v>
      </c>
      <c r="U162" s="20">
        <v>6818</v>
      </c>
      <c r="V162" s="20">
        <v>12668</v>
      </c>
      <c r="W162" s="20">
        <v>21308</v>
      </c>
    </row>
    <row r="163" spans="2:24" s="20" customFormat="1" x14ac:dyDescent="0.25">
      <c r="B163" s="19" t="s">
        <v>179</v>
      </c>
      <c r="E163" s="20">
        <v>25</v>
      </c>
      <c r="F163" s="20">
        <v>1</v>
      </c>
      <c r="G163" s="20">
        <v>88</v>
      </c>
      <c r="H163" s="20">
        <v>93</v>
      </c>
      <c r="I163" s="20">
        <v>83</v>
      </c>
      <c r="J163" s="20">
        <v>3</v>
      </c>
      <c r="K163" s="20">
        <v>116</v>
      </c>
      <c r="U163" s="20">
        <v>277</v>
      </c>
      <c r="V163" s="20">
        <v>75</v>
      </c>
      <c r="W163" s="20">
        <v>93</v>
      </c>
    </row>
    <row r="164" spans="2:24" s="23" customFormat="1" x14ac:dyDescent="0.25">
      <c r="B164" s="23" t="s">
        <v>180</v>
      </c>
      <c r="E164" s="23">
        <f t="shared" ref="E164:J164" si="129">SUM(E162:E163)</f>
        <v>12808</v>
      </c>
      <c r="F164" s="23">
        <f t="shared" si="129"/>
        <v>14695</v>
      </c>
      <c r="G164" s="23">
        <f t="shared" si="129"/>
        <v>26945</v>
      </c>
      <c r="H164" s="23">
        <f t="shared" si="129"/>
        <v>21401</v>
      </c>
      <c r="I164" s="23">
        <f t="shared" si="129"/>
        <v>34011</v>
      </c>
      <c r="J164" s="23">
        <f t="shared" si="129"/>
        <v>42667</v>
      </c>
      <c r="K164" s="23">
        <f>SUM(K162:K163)</f>
        <v>44806</v>
      </c>
      <c r="L164" s="23">
        <f t="shared" ref="L164:P164" si="130">SUM(L162:L163)</f>
        <v>0</v>
      </c>
      <c r="M164" s="23">
        <f t="shared" si="130"/>
        <v>0</v>
      </c>
      <c r="N164" s="23">
        <f t="shared" si="130"/>
        <v>0</v>
      </c>
      <c r="O164" s="23">
        <f t="shared" si="130"/>
        <v>0</v>
      </c>
      <c r="P164" s="23">
        <f t="shared" si="130"/>
        <v>0</v>
      </c>
      <c r="U164" s="23">
        <f t="shared" ref="U164" si="131">SUM(U162:U163)</f>
        <v>7095</v>
      </c>
      <c r="V164" s="23">
        <f t="shared" ref="V164" si="132">SUM(V162:V163)</f>
        <v>12743</v>
      </c>
      <c r="W164" s="23">
        <f t="shared" ref="W164" si="133">SUM(W162:W163)</f>
        <v>21401</v>
      </c>
      <c r="X164" s="23">
        <f t="shared" ref="X164" si="134">SUM(X162:X163)</f>
        <v>0</v>
      </c>
    </row>
    <row r="165" spans="2:24" s="20" customFormat="1" x14ac:dyDescent="0.25">
      <c r="B165" s="19" t="s">
        <v>182</v>
      </c>
      <c r="E165" s="20">
        <v>11384</v>
      </c>
      <c r="F165" s="20">
        <v>12115</v>
      </c>
      <c r="G165" s="20">
        <v>16753</v>
      </c>
      <c r="H165" s="19">
        <f>17156+1170</f>
        <v>18326</v>
      </c>
      <c r="I165" s="20">
        <v>31949</v>
      </c>
      <c r="J165" s="20">
        <v>35056</v>
      </c>
      <c r="K165" s="20">
        <v>41601</v>
      </c>
      <c r="U165" s="20">
        <v>1163</v>
      </c>
      <c r="V165" s="20">
        <f>8208+4764</f>
        <v>12972</v>
      </c>
      <c r="W165" s="19">
        <f>17156+1170</f>
        <v>18326</v>
      </c>
    </row>
    <row r="166" spans="2:24" s="20" customFormat="1" x14ac:dyDescent="0.25">
      <c r="B166" s="19" t="s">
        <v>181</v>
      </c>
      <c r="E166" s="20">
        <v>237</v>
      </c>
      <c r="F166" s="20">
        <v>197</v>
      </c>
      <c r="G166" s="20">
        <v>208</v>
      </c>
      <c r="H166" s="20">
        <v>209</v>
      </c>
      <c r="I166" s="20">
        <v>98</v>
      </c>
      <c r="J166" s="20">
        <v>60</v>
      </c>
      <c r="K166" s="20">
        <v>21</v>
      </c>
      <c r="U166" s="20">
        <v>508</v>
      </c>
      <c r="V166" s="20">
        <v>411</v>
      </c>
      <c r="W166" s="20">
        <v>209</v>
      </c>
    </row>
    <row r="167" spans="2:24" s="23" customFormat="1" x14ac:dyDescent="0.25">
      <c r="B167" s="23" t="s">
        <v>183</v>
      </c>
      <c r="E167" s="23">
        <f t="shared" ref="E167:J167" si="135">SUM(E164:E166)</f>
        <v>24429</v>
      </c>
      <c r="F167" s="23">
        <f t="shared" si="135"/>
        <v>27007</v>
      </c>
      <c r="G167" s="23">
        <f t="shared" si="135"/>
        <v>43906</v>
      </c>
      <c r="H167" s="23">
        <f t="shared" si="135"/>
        <v>39936</v>
      </c>
      <c r="I167" s="23">
        <f t="shared" si="135"/>
        <v>66058</v>
      </c>
      <c r="J167" s="23">
        <f t="shared" si="135"/>
        <v>77783</v>
      </c>
      <c r="K167" s="23">
        <f>SUM(K164:K166)</f>
        <v>86428</v>
      </c>
      <c r="L167" s="23">
        <f t="shared" ref="L167:P167" si="136">SUM(L164:L166)</f>
        <v>0</v>
      </c>
      <c r="M167" s="23">
        <f t="shared" si="136"/>
        <v>0</v>
      </c>
      <c r="N167" s="23">
        <f t="shared" si="136"/>
        <v>0</v>
      </c>
      <c r="O167" s="23">
        <f t="shared" si="136"/>
        <v>0</v>
      </c>
      <c r="P167" s="23">
        <f t="shared" si="136"/>
        <v>0</v>
      </c>
      <c r="U167" s="23">
        <f t="shared" ref="U167" si="137">SUM(U164:U166)</f>
        <v>8766</v>
      </c>
      <c r="V167" s="23">
        <f t="shared" ref="V167" si="138">SUM(V164:V166)</f>
        <v>26126</v>
      </c>
      <c r="W167" s="23">
        <f t="shared" ref="W167" si="139">SUM(W164:W166)</f>
        <v>39936</v>
      </c>
      <c r="X167" s="23">
        <f t="shared" ref="X167" si="140">SUM(X164:X166)</f>
        <v>0</v>
      </c>
    </row>
    <row r="168" spans="2:24" s="20" customFormat="1" x14ac:dyDescent="0.25"/>
    <row r="169" spans="2:24" s="20" customFormat="1" x14ac:dyDescent="0.25">
      <c r="B169" s="19" t="s">
        <v>184</v>
      </c>
      <c r="E169" s="20">
        <v>36472</v>
      </c>
      <c r="F169" s="20">
        <v>55341</v>
      </c>
      <c r="G169" s="20">
        <v>66048</v>
      </c>
      <c r="H169" s="20">
        <v>53708</v>
      </c>
      <c r="I169" s="20">
        <v>83962</v>
      </c>
      <c r="J169" s="20">
        <v>92811</v>
      </c>
      <c r="K169" s="20">
        <v>98753</v>
      </c>
      <c r="U169" s="20">
        <v>34764</v>
      </c>
      <c r="V169" s="20">
        <v>24601</v>
      </c>
      <c r="W169" s="20">
        <v>53708</v>
      </c>
    </row>
    <row r="170" spans="2:24" s="7" customFormat="1" x14ac:dyDescent="0.25">
      <c r="B170" s="22" t="s">
        <v>185</v>
      </c>
      <c r="E170" s="7">
        <f t="shared" ref="E170:J170" si="141">(E169-E164)/E169</f>
        <v>0.64882649703882433</v>
      </c>
      <c r="F170" s="7">
        <f t="shared" si="141"/>
        <v>0.73446450190636237</v>
      </c>
      <c r="G170" s="7">
        <f t="shared" si="141"/>
        <v>0.59203912306201545</v>
      </c>
      <c r="H170" s="7">
        <f t="shared" si="141"/>
        <v>0.60153049824979521</v>
      </c>
      <c r="I170" s="7">
        <f t="shared" si="141"/>
        <v>0.59492389414258828</v>
      </c>
      <c r="J170" s="7">
        <f t="shared" si="141"/>
        <v>0.54028078568273152</v>
      </c>
      <c r="K170" s="7">
        <f>(K169-K164)/K169</f>
        <v>0.54628213826415395</v>
      </c>
      <c r="L170" s="7" t="e">
        <f t="shared" ref="L170:P170" si="142">(L169-L164)/L169</f>
        <v>#DIV/0!</v>
      </c>
      <c r="M170" s="7" t="e">
        <f t="shared" si="142"/>
        <v>#DIV/0!</v>
      </c>
      <c r="N170" s="7" t="e">
        <f t="shared" si="142"/>
        <v>#DIV/0!</v>
      </c>
      <c r="O170" s="7" t="e">
        <f t="shared" si="142"/>
        <v>#DIV/0!</v>
      </c>
      <c r="P170" s="7" t="e">
        <f t="shared" si="142"/>
        <v>#DIV/0!</v>
      </c>
      <c r="U170" s="7">
        <f t="shared" ref="U170" si="143">(U169-U164)/U169</f>
        <v>0.79590956161546422</v>
      </c>
      <c r="V170" s="7">
        <f t="shared" ref="V170" si="144">(V169-V164)/V169</f>
        <v>0.48201292630380876</v>
      </c>
      <c r="W170" s="7">
        <f t="shared" ref="W170" si="145">(W169-W164)/W169</f>
        <v>0.60153049824979521</v>
      </c>
      <c r="X170" s="7" t="e">
        <f t="shared" ref="X170" si="146">(X169-X164)/X169</f>
        <v>#DIV/0!</v>
      </c>
    </row>
    <row r="171" spans="2:24" s="7" customFormat="1" x14ac:dyDescent="0.25">
      <c r="B171" s="22" t="s">
        <v>186</v>
      </c>
      <c r="E171" s="22">
        <f t="shared" ref="E171:J171" si="147">+(E169-E167)/E169</f>
        <v>0.33019850844483439</v>
      </c>
      <c r="F171" s="22">
        <f t="shared" si="147"/>
        <v>0.51198930268697707</v>
      </c>
      <c r="G171" s="22">
        <f t="shared" si="147"/>
        <v>0.33524103682170542</v>
      </c>
      <c r="H171" s="22">
        <f t="shared" si="147"/>
        <v>0.25642362404111119</v>
      </c>
      <c r="I171" s="22">
        <f t="shared" si="147"/>
        <v>0.21323932255067768</v>
      </c>
      <c r="J171" s="22">
        <f t="shared" si="147"/>
        <v>0.16192046201420091</v>
      </c>
      <c r="K171" s="22">
        <f>+(K169-K167)/K169</f>
        <v>0.12480633499741781</v>
      </c>
      <c r="L171" s="22" t="e">
        <f t="shared" ref="L171:P171" si="148">+(L169-L167)/L169</f>
        <v>#DIV/0!</v>
      </c>
      <c r="M171" s="22" t="e">
        <f t="shared" si="148"/>
        <v>#DIV/0!</v>
      </c>
      <c r="N171" s="22" t="e">
        <f t="shared" si="148"/>
        <v>#DIV/0!</v>
      </c>
      <c r="O171" s="22" t="e">
        <f t="shared" si="148"/>
        <v>#DIV/0!</v>
      </c>
      <c r="P171" s="22" t="e">
        <f t="shared" si="148"/>
        <v>#DIV/0!</v>
      </c>
      <c r="U171" s="22">
        <f t="shared" ref="U171:X171" si="149">+(U169-U167)/U169</f>
        <v>0.74784259578874701</v>
      </c>
      <c r="V171" s="22">
        <f t="shared" si="149"/>
        <v>-6.198935002642169E-2</v>
      </c>
      <c r="W171" s="22">
        <f t="shared" si="149"/>
        <v>0.25642362404111119</v>
      </c>
      <c r="X171" s="22" t="e">
        <f t="shared" si="149"/>
        <v>#DIV/0!</v>
      </c>
    </row>
    <row r="173" spans="2:24" s="20" customFormat="1" x14ac:dyDescent="0.25">
      <c r="B173" s="19" t="s">
        <v>187</v>
      </c>
      <c r="E173" s="20">
        <v>1711</v>
      </c>
      <c r="F173" s="20">
        <v>1785</v>
      </c>
      <c r="G173" s="20">
        <v>1435</v>
      </c>
      <c r="H173" s="20">
        <v>1273</v>
      </c>
      <c r="I173" s="20">
        <v>1817</v>
      </c>
      <c r="J173" s="20">
        <v>1938</v>
      </c>
      <c r="K173" s="20">
        <v>2012</v>
      </c>
      <c r="U173" s="20">
        <v>1956</v>
      </c>
      <c r="V173" s="20">
        <v>5196</v>
      </c>
      <c r="W173" s="20">
        <v>6204</v>
      </c>
    </row>
    <row r="174" spans="2:24" s="3" customFormat="1" x14ac:dyDescent="0.25">
      <c r="B174" s="9" t="s">
        <v>188</v>
      </c>
      <c r="E174" s="3">
        <v>62.4</v>
      </c>
      <c r="F174" s="3">
        <v>98.784000000000006</v>
      </c>
      <c r="G174" s="3">
        <v>94.736999999999995</v>
      </c>
      <c r="H174" s="3">
        <v>77.265999999999991</v>
      </c>
      <c r="I174" s="3">
        <v>152.56100000000001</v>
      </c>
      <c r="J174" s="3">
        <v>179.834</v>
      </c>
      <c r="K174" s="3">
        <v>198.64400000000001</v>
      </c>
      <c r="Q174" s="20"/>
      <c r="U174" s="3">
        <v>68</v>
      </c>
      <c r="V174" s="3">
        <v>127.827</v>
      </c>
      <c r="W174" s="3">
        <v>333.18700000000001</v>
      </c>
    </row>
    <row r="175" spans="2:24" s="20" customFormat="1" x14ac:dyDescent="0.25">
      <c r="B175" s="19" t="s">
        <v>189</v>
      </c>
      <c r="E175" s="20">
        <v>72234</v>
      </c>
      <c r="F175" s="20">
        <v>117693</v>
      </c>
      <c r="G175" s="20">
        <v>138493</v>
      </c>
      <c r="H175" s="20">
        <v>160200</v>
      </c>
      <c r="I175" s="20">
        <v>186878</v>
      </c>
      <c r="J175" s="20">
        <v>205412</v>
      </c>
      <c r="K175" s="20">
        <v>241227</v>
      </c>
      <c r="U175" s="20">
        <v>30506</v>
      </c>
      <c r="V175" s="20">
        <v>71620</v>
      </c>
      <c r="W175" s="20">
        <v>160200</v>
      </c>
    </row>
    <row r="176" spans="2:24" s="3" customFormat="1" x14ac:dyDescent="0.25">
      <c r="B176" s="9" t="s">
        <v>197</v>
      </c>
      <c r="E176" s="3">
        <v>495.19702799999999</v>
      </c>
      <c r="F176" s="3">
        <v>612.80538000000001</v>
      </c>
      <c r="G176" s="3">
        <v>808.47947399999998</v>
      </c>
      <c r="H176" s="3">
        <v>955.09268799999995</v>
      </c>
      <c r="I176" s="3">
        <v>1251.9290169999999</v>
      </c>
      <c r="J176" s="3">
        <v>1368.2261759999999</v>
      </c>
      <c r="K176" s="3">
        <v>1598.5007000000001</v>
      </c>
      <c r="Q176" s="20"/>
      <c r="U176" s="3">
        <v>321.919602</v>
      </c>
      <c r="V176" s="3">
        <v>1360.287814</v>
      </c>
      <c r="W176" s="3">
        <v>2871.5745700000002</v>
      </c>
    </row>
    <row r="177" spans="2:24" s="3" customFormat="1" x14ac:dyDescent="0.25">
      <c r="B177" s="9" t="s">
        <v>190</v>
      </c>
      <c r="E177" s="3">
        <v>21.870999999999999</v>
      </c>
      <c r="F177" s="3">
        <v>26.228000000000002</v>
      </c>
      <c r="G177" s="3">
        <v>38.545000000000002</v>
      </c>
      <c r="H177" s="3">
        <v>44.548000000000016</v>
      </c>
      <c r="I177" s="3">
        <v>61.649000000000001</v>
      </c>
      <c r="J177" s="3">
        <v>82.668000000000006</v>
      </c>
      <c r="K177" s="3">
        <v>89.894999999999996</v>
      </c>
      <c r="Q177" s="20"/>
      <c r="U177" s="3">
        <v>13.334</v>
      </c>
      <c r="V177" s="3">
        <v>65.823999999999998</v>
      </c>
      <c r="W177" s="3">
        <v>131.19200000000001</v>
      </c>
    </row>
    <row r="178" spans="2:24" s="24" customFormat="1" x14ac:dyDescent="0.25">
      <c r="B178" s="13" t="s">
        <v>191</v>
      </c>
      <c r="E178" s="24">
        <v>4.3999999999999997E-2</v>
      </c>
      <c r="F178" s="24">
        <v>4.2999999999999997E-2</v>
      </c>
      <c r="G178" s="24">
        <v>4.8000000000000001E-2</v>
      </c>
      <c r="H178" s="24">
        <v>4.9000000000000002E-2</v>
      </c>
      <c r="I178" s="24">
        <v>4.9000000000000002E-2</v>
      </c>
      <c r="J178" s="24">
        <v>0.06</v>
      </c>
      <c r="K178" s="24">
        <v>5.6000000000000001E-2</v>
      </c>
      <c r="Q178" s="20"/>
      <c r="U178" s="24">
        <v>4.1000000000000002E-2</v>
      </c>
      <c r="V178" s="24">
        <v>4.8000000000000001E-2</v>
      </c>
      <c r="W178" s="24">
        <v>4.5999999999999999E-2</v>
      </c>
    </row>
    <row r="179" spans="2:24" s="26" customFormat="1" x14ac:dyDescent="0.25">
      <c r="B179" s="25" t="s">
        <v>192</v>
      </c>
      <c r="D179" s="26" t="e">
        <f t="shared" ref="D179:J179" si="150">D177/D174</f>
        <v>#DIV/0!</v>
      </c>
      <c r="E179" s="26">
        <f t="shared" si="150"/>
        <v>0.35049679487179486</v>
      </c>
      <c r="F179" s="26">
        <f t="shared" si="150"/>
        <v>0.26550858438613539</v>
      </c>
      <c r="G179" s="26">
        <f t="shared" si="150"/>
        <v>0.4068632107835376</v>
      </c>
      <c r="H179" s="26">
        <f t="shared" si="150"/>
        <v>0.5765537235006345</v>
      </c>
      <c r="I179" s="26">
        <f t="shared" si="150"/>
        <v>0.40409410006489205</v>
      </c>
      <c r="J179" s="26">
        <f t="shared" si="150"/>
        <v>0.45969060355661334</v>
      </c>
      <c r="K179" s="26">
        <f>K177/K174</f>
        <v>0.45254324318882017</v>
      </c>
      <c r="L179" s="26" t="e">
        <f t="shared" ref="L179:P179" si="151">L177/L174</f>
        <v>#DIV/0!</v>
      </c>
      <c r="M179" s="26" t="e">
        <f t="shared" si="151"/>
        <v>#DIV/0!</v>
      </c>
      <c r="N179" s="26" t="e">
        <f t="shared" si="151"/>
        <v>#DIV/0!</v>
      </c>
      <c r="O179" s="26" t="e">
        <f t="shared" si="151"/>
        <v>#DIV/0!</v>
      </c>
      <c r="P179" s="26" t="e">
        <f t="shared" si="151"/>
        <v>#DIV/0!</v>
      </c>
      <c r="Q179" s="20"/>
      <c r="U179" s="26">
        <f t="shared" ref="U179:X179" si="152">U177/U174</f>
        <v>0.19608823529411765</v>
      </c>
      <c r="V179" s="26">
        <f t="shared" si="152"/>
        <v>0.51494598167836214</v>
      </c>
      <c r="W179" s="26">
        <f t="shared" si="152"/>
        <v>0.39374885574767321</v>
      </c>
      <c r="X179" s="26" t="e">
        <f t="shared" si="152"/>
        <v>#DIV/0!</v>
      </c>
    </row>
    <row r="180" spans="2:24" s="3" customFormat="1" x14ac:dyDescent="0.25">
      <c r="B180" s="9" t="s">
        <v>193</v>
      </c>
      <c r="E180" s="3">
        <v>4.2000000000000003E-2</v>
      </c>
      <c r="F180" s="3">
        <v>2E-3</v>
      </c>
      <c r="G180" s="3">
        <v>0.126</v>
      </c>
      <c r="H180" s="3">
        <v>0.40899999999999997</v>
      </c>
      <c r="I180" s="3">
        <v>0.15</v>
      </c>
      <c r="J180" s="3">
        <v>5.0000000000000001E-3</v>
      </c>
      <c r="K180" s="3">
        <v>0.23300000000000001</v>
      </c>
      <c r="Q180" s="20"/>
      <c r="U180" s="3">
        <v>0.54200000000000004</v>
      </c>
      <c r="V180" s="3">
        <v>0.39100000000000001</v>
      </c>
      <c r="W180" s="3">
        <v>0.57899999999999996</v>
      </c>
    </row>
    <row r="181" spans="2:24" s="3" customFormat="1" x14ac:dyDescent="0.25">
      <c r="B181" s="9" t="s">
        <v>194</v>
      </c>
      <c r="E181" s="3">
        <v>19.477</v>
      </c>
      <c r="F181" s="3">
        <v>21.625</v>
      </c>
      <c r="G181" s="3">
        <v>24.042999999999999</v>
      </c>
      <c r="H181" s="3">
        <v>41.288999999999987</v>
      </c>
      <c r="I181" s="3">
        <v>58.052</v>
      </c>
      <c r="J181" s="3">
        <v>67.924999999999997</v>
      </c>
      <c r="K181" s="3">
        <v>83.682000000000002</v>
      </c>
      <c r="Q181" s="20"/>
      <c r="U181" s="3">
        <v>22.748999999999999</v>
      </c>
      <c r="V181" s="3">
        <v>42.651000000000003</v>
      </c>
      <c r="W181" s="3">
        <v>106.434</v>
      </c>
    </row>
    <row r="182" spans="2:24" s="3" customFormat="1" x14ac:dyDescent="0.25">
      <c r="B182" s="9" t="s">
        <v>195</v>
      </c>
      <c r="G182" s="3">
        <v>7.2610000000000001</v>
      </c>
      <c r="K182" s="3">
        <v>0</v>
      </c>
      <c r="Q182" s="20"/>
      <c r="V182" s="3">
        <v>24.754000000000001</v>
      </c>
      <c r="W182" s="3">
        <v>7.2610000000000001</v>
      </c>
    </row>
    <row r="183" spans="2:24" s="3" customFormat="1" x14ac:dyDescent="0.25">
      <c r="B183" s="9" t="s">
        <v>196</v>
      </c>
      <c r="E183" s="3">
        <v>0.40500000000000003</v>
      </c>
      <c r="F183" s="3">
        <v>0.35199999999999998</v>
      </c>
      <c r="G183" s="3">
        <v>0.29899999999999999</v>
      </c>
      <c r="H183" s="3">
        <v>0.23899999999999999</v>
      </c>
      <c r="I183" s="3">
        <v>0.17799999999999999</v>
      </c>
      <c r="J183" s="3">
        <v>0.11600000000000001</v>
      </c>
      <c r="K183" s="3">
        <v>4.2000000000000003E-2</v>
      </c>
      <c r="Q183" s="20"/>
      <c r="U183" s="3">
        <v>0.995</v>
      </c>
      <c r="V183" s="3">
        <v>2.1379999999999999</v>
      </c>
      <c r="W183" s="3">
        <v>1.2949999999999999</v>
      </c>
    </row>
    <row r="186" spans="2:24" x14ac:dyDescent="0.25">
      <c r="B186" s="14" t="s">
        <v>199</v>
      </c>
    </row>
    <row r="187" spans="2:24" s="20" customFormat="1" x14ac:dyDescent="0.25">
      <c r="B187" s="19" t="s">
        <v>200</v>
      </c>
      <c r="E187" s="20">
        <v>22621</v>
      </c>
      <c r="F187" s="20">
        <v>32797</v>
      </c>
      <c r="G187" s="20">
        <v>46138</v>
      </c>
      <c r="H187" s="20">
        <v>36564</v>
      </c>
      <c r="I187" s="20">
        <v>66288</v>
      </c>
      <c r="J187" s="20">
        <v>142515</v>
      </c>
      <c r="K187" s="20">
        <v>76269</v>
      </c>
      <c r="U187" s="20">
        <v>14885</v>
      </c>
      <c r="V187" s="20">
        <v>15797</v>
      </c>
      <c r="W187" s="20">
        <v>36564</v>
      </c>
    </row>
    <row r="188" spans="2:24" s="20" customFormat="1" x14ac:dyDescent="0.25">
      <c r="B188" s="19" t="s">
        <v>182</v>
      </c>
      <c r="E188" s="20">
        <v>19564</v>
      </c>
      <c r="F188" s="20">
        <v>24549</v>
      </c>
      <c r="G188" s="20">
        <v>28328</v>
      </c>
      <c r="H188" s="20">
        <v>22374</v>
      </c>
      <c r="I188" s="20">
        <v>4</v>
      </c>
      <c r="K188" s="20">
        <v>4</v>
      </c>
      <c r="U188" s="20">
        <v>8958</v>
      </c>
      <c r="V188" s="20">
        <f>14872+4668</f>
        <v>19540</v>
      </c>
      <c r="W188" s="20">
        <v>22374</v>
      </c>
    </row>
    <row r="189" spans="2:24" s="23" customFormat="1" x14ac:dyDescent="0.25">
      <c r="B189" s="23" t="s">
        <v>201</v>
      </c>
      <c r="D189" s="23">
        <f t="shared" ref="D189:F189" si="153">SUM(D187:D188)</f>
        <v>0</v>
      </c>
      <c r="E189" s="23">
        <f t="shared" si="153"/>
        <v>42185</v>
      </c>
      <c r="F189" s="23">
        <f t="shared" si="153"/>
        <v>57346</v>
      </c>
      <c r="G189" s="23">
        <f>SUM(G187:G188)</f>
        <v>74466</v>
      </c>
      <c r="H189" s="23">
        <f t="shared" ref="H189" si="154">SUM(H187:H188)</f>
        <v>58938</v>
      </c>
      <c r="I189" s="23">
        <f t="shared" ref="I189:P189" si="155">SUM(I187:I188)</f>
        <v>66292</v>
      </c>
      <c r="J189" s="23">
        <f t="shared" si="155"/>
        <v>142515</v>
      </c>
      <c r="K189" s="23">
        <f t="shared" si="155"/>
        <v>76273</v>
      </c>
      <c r="L189" s="23">
        <f t="shared" si="155"/>
        <v>0</v>
      </c>
      <c r="M189" s="23">
        <f t="shared" si="155"/>
        <v>0</v>
      </c>
      <c r="N189" s="23">
        <f t="shared" si="155"/>
        <v>0</v>
      </c>
      <c r="O189" s="23">
        <f t="shared" si="155"/>
        <v>0</v>
      </c>
      <c r="P189" s="23">
        <f t="shared" si="155"/>
        <v>0</v>
      </c>
      <c r="U189" s="23">
        <f t="shared" ref="U189" si="156">SUM(U187:U188)</f>
        <v>23843</v>
      </c>
      <c r="V189" s="23">
        <f t="shared" ref="V189" si="157">SUM(V187:V188)</f>
        <v>35337</v>
      </c>
      <c r="W189" s="23">
        <f t="shared" ref="W189" si="158">SUM(W187:W188)</f>
        <v>58938</v>
      </c>
      <c r="X189" s="23">
        <f t="shared" ref="X189" si="159">SUM(X187:X188)</f>
        <v>0</v>
      </c>
    </row>
    <row r="190" spans="2:24" s="20" customFormat="1" x14ac:dyDescent="0.25"/>
    <row r="191" spans="2:24" s="20" customFormat="1" x14ac:dyDescent="0.25">
      <c r="B191" s="19" t="s">
        <v>184</v>
      </c>
      <c r="E191" s="20">
        <v>36884</v>
      </c>
      <c r="F191" s="20">
        <v>52907</v>
      </c>
      <c r="G191" s="20">
        <v>66048</v>
      </c>
      <c r="H191" s="20">
        <v>51120</v>
      </c>
      <c r="I191" s="20">
        <v>76080</v>
      </c>
      <c r="J191" s="20">
        <v>97279</v>
      </c>
      <c r="K191" s="20">
        <v>78856</v>
      </c>
      <c r="U191" s="20">
        <v>35079</v>
      </c>
      <c r="V191" s="20">
        <v>23611</v>
      </c>
      <c r="W191" s="20">
        <v>51120</v>
      </c>
    </row>
    <row r="192" spans="2:24" s="7" customFormat="1" x14ac:dyDescent="0.25">
      <c r="B192" s="22" t="s">
        <v>185</v>
      </c>
      <c r="D192" s="7" t="e">
        <f t="shared" ref="D192:F192" si="160">(D191-D187)/D191</f>
        <v>#DIV/0!</v>
      </c>
      <c r="E192" s="7">
        <f t="shared" si="160"/>
        <v>0.38669883960524887</v>
      </c>
      <c r="F192" s="7">
        <f t="shared" si="160"/>
        <v>0.38010093182376625</v>
      </c>
      <c r="G192" s="7">
        <f>(G191-G187)/G191</f>
        <v>0.30144743217054265</v>
      </c>
      <c r="H192" s="7">
        <f t="shared" ref="H192:P192" si="161">(H191-H187)/H191</f>
        <v>0.28474178403755868</v>
      </c>
      <c r="I192" s="7">
        <f t="shared" si="161"/>
        <v>0.12870662460567822</v>
      </c>
      <c r="J192" s="7">
        <f t="shared" si="161"/>
        <v>-0.46501300383433219</v>
      </c>
      <c r="K192" s="7">
        <f t="shared" si="161"/>
        <v>3.2806634878766359E-2</v>
      </c>
      <c r="L192" s="7" t="e">
        <f t="shared" si="161"/>
        <v>#DIV/0!</v>
      </c>
      <c r="M192" s="7" t="e">
        <f t="shared" si="161"/>
        <v>#DIV/0!</v>
      </c>
      <c r="N192" s="7" t="e">
        <f t="shared" si="161"/>
        <v>#DIV/0!</v>
      </c>
      <c r="O192" s="7" t="e">
        <f t="shared" si="161"/>
        <v>#DIV/0!</v>
      </c>
      <c r="P192" s="7" t="e">
        <f t="shared" si="161"/>
        <v>#DIV/0!</v>
      </c>
      <c r="U192" s="7">
        <f t="shared" ref="U192" si="162">(U191-U187)/U191</f>
        <v>0.57567205450554459</v>
      </c>
      <c r="V192" s="7">
        <f t="shared" ref="V192" si="163">(V191-V187)/V191</f>
        <v>0.33094743975265767</v>
      </c>
      <c r="W192" s="7">
        <f t="shared" ref="W192" si="164">(W191-W187)/W191</f>
        <v>0.28474178403755868</v>
      </c>
      <c r="X192" s="7" t="e">
        <f t="shared" ref="X192" si="165">(X191-X187)/X191</f>
        <v>#DIV/0!</v>
      </c>
    </row>
    <row r="193" spans="2:24" s="7" customFormat="1" x14ac:dyDescent="0.25">
      <c r="B193" s="22" t="s">
        <v>186</v>
      </c>
      <c r="D193" s="7" t="e">
        <f t="shared" ref="D193:F193" si="166">(D191-D189)/D191</f>
        <v>#DIV/0!</v>
      </c>
      <c r="E193" s="7">
        <f t="shared" si="166"/>
        <v>-0.14372085457108774</v>
      </c>
      <c r="F193" s="7">
        <f t="shared" si="166"/>
        <v>-8.3901941142003889E-2</v>
      </c>
      <c r="G193" s="7">
        <f>(G191-G189)/G191</f>
        <v>-0.12745276162790697</v>
      </c>
      <c r="H193" s="7">
        <f t="shared" ref="H193:P193" si="167">(H191-H189)/H191</f>
        <v>-0.15293427230046949</v>
      </c>
      <c r="I193" s="7">
        <f t="shared" si="167"/>
        <v>0.12865404837013669</v>
      </c>
      <c r="J193" s="7">
        <f t="shared" si="167"/>
        <v>-0.46501300383433219</v>
      </c>
      <c r="K193" s="7">
        <f t="shared" si="167"/>
        <v>3.275590950593487E-2</v>
      </c>
      <c r="L193" s="7" t="e">
        <f t="shared" si="167"/>
        <v>#DIV/0!</v>
      </c>
      <c r="M193" s="7" t="e">
        <f t="shared" si="167"/>
        <v>#DIV/0!</v>
      </c>
      <c r="N193" s="7" t="e">
        <f t="shared" si="167"/>
        <v>#DIV/0!</v>
      </c>
      <c r="O193" s="7" t="e">
        <f t="shared" si="167"/>
        <v>#DIV/0!</v>
      </c>
      <c r="P193" s="7" t="e">
        <f t="shared" si="167"/>
        <v>#DIV/0!</v>
      </c>
      <c r="U193" s="7">
        <f t="shared" ref="U193:X193" si="168">(U191-U189)/U191</f>
        <v>0.32030559594059121</v>
      </c>
      <c r="V193" s="7">
        <f t="shared" si="168"/>
        <v>-0.49663292533141334</v>
      </c>
      <c r="W193" s="7">
        <f t="shared" si="168"/>
        <v>-0.15293427230046949</v>
      </c>
      <c r="X193" s="7" t="e">
        <f t="shared" si="168"/>
        <v>#DIV/0!</v>
      </c>
    </row>
    <row r="195" spans="2:24" s="20" customFormat="1" x14ac:dyDescent="0.25">
      <c r="B195" s="19" t="s">
        <v>187</v>
      </c>
      <c r="E195" s="20">
        <v>309</v>
      </c>
      <c r="F195" s="20">
        <v>246</v>
      </c>
      <c r="G195" s="20">
        <v>141</v>
      </c>
      <c r="H195" s="20">
        <v>200</v>
      </c>
      <c r="I195" s="20">
        <v>128</v>
      </c>
      <c r="J195" s="20">
        <v>19</v>
      </c>
      <c r="K195" s="20">
        <v>147</v>
      </c>
      <c r="U195" s="20">
        <v>1796</v>
      </c>
      <c r="V195" s="20">
        <v>1707</v>
      </c>
      <c r="W195" s="20">
        <v>896</v>
      </c>
    </row>
    <row r="196" spans="2:24" s="3" customFormat="1" x14ac:dyDescent="0.25">
      <c r="B196" s="9" t="s">
        <v>188</v>
      </c>
      <c r="E196" s="3">
        <v>11.385999999999999</v>
      </c>
      <c r="F196" s="3">
        <v>13.015000000000001</v>
      </c>
      <c r="G196" s="3">
        <v>9.3710000000000004</v>
      </c>
      <c r="H196" s="3">
        <v>12.008999999999997</v>
      </c>
      <c r="I196" s="3">
        <v>9.7460000000000004</v>
      </c>
      <c r="J196" s="3">
        <v>1.877</v>
      </c>
      <c r="K196" s="3">
        <v>11.622999999999999</v>
      </c>
      <c r="Q196" s="20"/>
      <c r="U196" s="3">
        <v>63</v>
      </c>
      <c r="V196" s="3">
        <v>40.293999999999997</v>
      </c>
      <c r="W196" s="3">
        <v>45.780999999999999</v>
      </c>
    </row>
    <row r="197" spans="2:24" s="20" customFormat="1" x14ac:dyDescent="0.25">
      <c r="B197" s="19" t="s">
        <v>189</v>
      </c>
      <c r="E197" s="20">
        <v>16325</v>
      </c>
      <c r="F197" s="20">
        <v>16270</v>
      </c>
      <c r="G197" s="20">
        <v>14012</v>
      </c>
      <c r="H197" s="20">
        <v>28320</v>
      </c>
      <c r="I197" s="20">
        <v>14930</v>
      </c>
      <c r="U197" s="20">
        <v>16439</v>
      </c>
      <c r="V197" s="20">
        <v>16325</v>
      </c>
      <c r="W197" s="20">
        <v>28320</v>
      </c>
    </row>
    <row r="198" spans="2:24" s="3" customFormat="1" x14ac:dyDescent="0.25">
      <c r="B198" s="9" t="s">
        <v>197</v>
      </c>
      <c r="E198" s="3">
        <v>104.59889</v>
      </c>
      <c r="F198" s="20">
        <v>107.324037</v>
      </c>
      <c r="G198" s="3">
        <v>103.08926099999999</v>
      </c>
      <c r="H198" s="3">
        <v>173.16133500000001</v>
      </c>
      <c r="I198" s="3">
        <v>121.977227</v>
      </c>
      <c r="J198" s="3">
        <v>22.809318000000001</v>
      </c>
      <c r="K198" s="3">
        <v>144.78654499999999</v>
      </c>
      <c r="Q198" s="20"/>
      <c r="U198" s="3">
        <v>273.56045</v>
      </c>
      <c r="V198" s="3">
        <v>420.585554</v>
      </c>
      <c r="W198" s="3">
        <v>488.17352299999999</v>
      </c>
    </row>
    <row r="199" spans="2:24" s="3" customFormat="1" x14ac:dyDescent="0.25">
      <c r="B199" s="9" t="s">
        <v>202</v>
      </c>
      <c r="E199" s="3">
        <v>6.9829999999999997</v>
      </c>
      <c r="F199" s="3">
        <v>8.0679999999999996</v>
      </c>
      <c r="G199" s="3">
        <v>6.5090000000000003</v>
      </c>
      <c r="H199" s="3">
        <v>11.184999999999999</v>
      </c>
      <c r="I199" s="3">
        <v>8.4909999999999997</v>
      </c>
      <c r="J199" s="3">
        <v>2.7509999999999999</v>
      </c>
      <c r="K199" s="3">
        <v>11.242000000000001</v>
      </c>
      <c r="Q199" s="20"/>
      <c r="U199" s="3">
        <v>26.736000000000001</v>
      </c>
      <c r="V199" s="3">
        <v>26.965</v>
      </c>
      <c r="W199" s="3">
        <v>32.744999999999997</v>
      </c>
    </row>
    <row r="200" spans="2:24" s="24" customFormat="1" x14ac:dyDescent="0.25">
      <c r="B200" s="13" t="s">
        <v>203</v>
      </c>
      <c r="E200" s="24">
        <v>6.7000000000000004E-2</v>
      </c>
      <c r="F200" s="24">
        <v>7.4999999999999997E-2</v>
      </c>
      <c r="G200" s="24">
        <v>6.3E-2</v>
      </c>
      <c r="H200" s="24">
        <v>6.3E-2</v>
      </c>
      <c r="I200" s="24">
        <v>7.0000000000000007E-2</v>
      </c>
      <c r="J200" s="24">
        <v>0.121</v>
      </c>
      <c r="K200" s="24">
        <v>7.8E-2</v>
      </c>
      <c r="Q200" s="20"/>
      <c r="U200" s="24">
        <v>9.8000000000000004E-2</v>
      </c>
      <c r="V200" s="24">
        <v>6.4000000000000001E-2</v>
      </c>
      <c r="W200" s="24">
        <v>6.7000000000000004E-2</v>
      </c>
    </row>
    <row r="201" spans="2:24" s="26" customFormat="1" x14ac:dyDescent="0.25">
      <c r="B201" s="25" t="s">
        <v>192</v>
      </c>
      <c r="E201" s="26">
        <f t="shared" ref="E201:J201" si="169">E199/E196</f>
        <v>0.61329703144212189</v>
      </c>
      <c r="F201" s="26">
        <f t="shared" si="169"/>
        <v>0.61990011525163269</v>
      </c>
      <c r="G201" s="26">
        <f t="shared" si="169"/>
        <v>0.6945896916017501</v>
      </c>
      <c r="H201" s="26">
        <f t="shared" si="169"/>
        <v>0.93138479473728053</v>
      </c>
      <c r="I201" s="26">
        <f t="shared" si="169"/>
        <v>0.87122922224502353</v>
      </c>
      <c r="J201" s="26">
        <f t="shared" si="169"/>
        <v>1.4656366542354822</v>
      </c>
      <c r="K201" s="26">
        <f>K199/K196</f>
        <v>0.96722016691043633</v>
      </c>
      <c r="L201" s="26" t="e">
        <f t="shared" ref="L201:P201" si="170">L199/L196</f>
        <v>#DIV/0!</v>
      </c>
      <c r="M201" s="26" t="e">
        <f t="shared" si="170"/>
        <v>#DIV/0!</v>
      </c>
      <c r="N201" s="26" t="e">
        <f t="shared" si="170"/>
        <v>#DIV/0!</v>
      </c>
      <c r="O201" s="26" t="e">
        <f t="shared" si="170"/>
        <v>#DIV/0!</v>
      </c>
      <c r="P201" s="26" t="e">
        <f t="shared" si="170"/>
        <v>#DIV/0!</v>
      </c>
      <c r="Q201" s="20"/>
      <c r="U201" s="26">
        <f t="shared" ref="U201:X201" si="171">U199/U196</f>
        <v>0.42438095238095241</v>
      </c>
      <c r="V201" s="26">
        <f t="shared" si="171"/>
        <v>0.66920633344914882</v>
      </c>
      <c r="W201" s="26">
        <f t="shared" si="171"/>
        <v>0.71525305257639626</v>
      </c>
      <c r="X201" s="26" t="e">
        <f t="shared" si="171"/>
        <v>#DIV/0!</v>
      </c>
    </row>
    <row r="202" spans="2:24" s="3" customFormat="1" x14ac:dyDescent="0.25">
      <c r="B202" s="9" t="s">
        <v>194</v>
      </c>
      <c r="E202" s="3">
        <v>6.0389999999999997</v>
      </c>
      <c r="F202" s="3">
        <v>6.0389999999999997</v>
      </c>
      <c r="G202" s="3">
        <v>3.9969999999999999</v>
      </c>
      <c r="H202" s="3">
        <v>3.963000000000001</v>
      </c>
      <c r="I202" s="3">
        <v>1E-3</v>
      </c>
      <c r="J202" s="3">
        <v>0</v>
      </c>
      <c r="K202" s="3">
        <v>1E-3</v>
      </c>
      <c r="Q202" s="20"/>
      <c r="U202" s="3">
        <v>16.088999999999999</v>
      </c>
      <c r="V202" s="3">
        <v>25.382000000000001</v>
      </c>
      <c r="W202" s="3">
        <v>20.038</v>
      </c>
    </row>
    <row r="203" spans="2:24" x14ac:dyDescent="0.25">
      <c r="Q203" s="20"/>
    </row>
    <row r="205" spans="2:24" s="3" customFormat="1" x14ac:dyDescent="0.25">
      <c r="B205" s="9" t="s">
        <v>204</v>
      </c>
      <c r="C205" s="3">
        <f t="shared" ref="C205:D205" si="172">C22</f>
        <v>0</v>
      </c>
      <c r="D205" s="3">
        <f t="shared" si="172"/>
        <v>0</v>
      </c>
      <c r="E205" s="3">
        <f t="shared" ref="E205:J205" si="173">E22</f>
        <v>25.911999999999995</v>
      </c>
      <c r="F205" s="3">
        <f t="shared" si="173"/>
        <v>126.73500000000001</v>
      </c>
      <c r="G205" s="3">
        <f t="shared" si="173"/>
        <v>-236.24199999999996</v>
      </c>
      <c r="H205" s="3">
        <f t="shared" si="173"/>
        <v>-58.83799999999998</v>
      </c>
      <c r="I205" s="3">
        <f t="shared" si="173"/>
        <v>246.79099999999997</v>
      </c>
      <c r="J205" s="3">
        <f t="shared" si="173"/>
        <v>-138.79100000000003</v>
      </c>
      <c r="K205" s="3">
        <f>K22</f>
        <v>257.399</v>
      </c>
      <c r="L205" s="3">
        <f t="shared" ref="L205:P205" si="174">L22</f>
        <v>0</v>
      </c>
      <c r="M205" s="3">
        <f t="shared" si="174"/>
        <v>0</v>
      </c>
      <c r="N205" s="3">
        <f t="shared" si="174"/>
        <v>0</v>
      </c>
      <c r="O205" s="3">
        <f t="shared" si="174"/>
        <v>0</v>
      </c>
      <c r="P205" s="3">
        <f t="shared" si="174"/>
        <v>0</v>
      </c>
      <c r="U205" s="3">
        <f t="shared" ref="U205:X205" si="175">U22</f>
        <v>-43.432000000000038</v>
      </c>
      <c r="V205" s="3">
        <f t="shared" si="175"/>
        <v>-133.98899999999995</v>
      </c>
      <c r="W205" s="3">
        <f t="shared" si="175"/>
        <v>-142.43299999999996</v>
      </c>
      <c r="X205" s="3">
        <f t="shared" si="175"/>
        <v>365.399</v>
      </c>
    </row>
    <row r="206" spans="2:24" s="3" customFormat="1" x14ac:dyDescent="0.25">
      <c r="B206" s="9" t="s">
        <v>24</v>
      </c>
      <c r="C206" s="3">
        <f t="shared" ref="C206:D206" si="176">C11</f>
        <v>0</v>
      </c>
      <c r="D206" s="3">
        <f t="shared" si="176"/>
        <v>0</v>
      </c>
      <c r="E206" s="3">
        <f t="shared" ref="E206:J206" si="177">E11</f>
        <v>0</v>
      </c>
      <c r="F206" s="3">
        <f t="shared" si="177"/>
        <v>0.39600000000000002</v>
      </c>
      <c r="G206" s="3">
        <f t="shared" si="177"/>
        <v>189.23500000000001</v>
      </c>
      <c r="H206" s="3">
        <f t="shared" si="177"/>
        <v>8.1259999999999906</v>
      </c>
      <c r="I206" s="3">
        <f t="shared" si="177"/>
        <v>0</v>
      </c>
      <c r="J206" s="3">
        <f t="shared" si="177"/>
        <v>0</v>
      </c>
      <c r="K206" s="3">
        <f>K11</f>
        <v>0</v>
      </c>
      <c r="L206" s="3">
        <f t="shared" ref="L206:P206" si="178">L11</f>
        <v>0</v>
      </c>
      <c r="M206" s="3">
        <f t="shared" si="178"/>
        <v>0</v>
      </c>
      <c r="N206" s="3">
        <f t="shared" si="178"/>
        <v>0</v>
      </c>
      <c r="O206" s="3">
        <f t="shared" si="178"/>
        <v>0</v>
      </c>
      <c r="P206" s="3">
        <f t="shared" si="178"/>
        <v>0</v>
      </c>
      <c r="U206" s="3">
        <f t="shared" ref="U206:X206" si="179">U11</f>
        <v>24.508000000000003</v>
      </c>
      <c r="V206" s="3">
        <f t="shared" si="179"/>
        <v>7.1630000000000003</v>
      </c>
      <c r="W206" s="3">
        <f t="shared" si="179"/>
        <v>197.75700000000001</v>
      </c>
      <c r="X206" s="3">
        <f t="shared" si="179"/>
        <v>0</v>
      </c>
    </row>
    <row r="207" spans="2:24" s="3" customFormat="1" x14ac:dyDescent="0.25">
      <c r="B207" s="9" t="s">
        <v>25</v>
      </c>
      <c r="C207" s="3">
        <f t="shared" ref="C207:D207" si="180">C12</f>
        <v>0</v>
      </c>
      <c r="D207" s="3">
        <f t="shared" si="180"/>
        <v>0</v>
      </c>
      <c r="E207" s="3">
        <f t="shared" ref="E207:J207" si="181">E12</f>
        <v>29.847000000000001</v>
      </c>
      <c r="F207" s="3">
        <f t="shared" si="181"/>
        <v>32.186999999999998</v>
      </c>
      <c r="G207" s="3">
        <f t="shared" si="181"/>
        <v>40.726999999999997</v>
      </c>
      <c r="H207" s="3">
        <f t="shared" si="181"/>
        <v>51.848000000000006</v>
      </c>
      <c r="I207" s="3">
        <f t="shared" si="181"/>
        <v>66.228999999999999</v>
      </c>
      <c r="J207" s="3">
        <f t="shared" si="181"/>
        <v>78.900000000000006</v>
      </c>
      <c r="K207" s="3">
        <f>K12</f>
        <v>94.88</v>
      </c>
      <c r="L207" s="3">
        <f t="shared" ref="L207:P207" si="182">L12</f>
        <v>0</v>
      </c>
      <c r="M207" s="3">
        <f t="shared" si="182"/>
        <v>0</v>
      </c>
      <c r="N207" s="3">
        <f t="shared" si="182"/>
        <v>0</v>
      </c>
      <c r="O207" s="3">
        <f t="shared" si="182"/>
        <v>0</v>
      </c>
      <c r="P207" s="3">
        <f t="shared" si="182"/>
        <v>0</v>
      </c>
      <c r="U207" s="3">
        <f t="shared" ref="U207:X207" si="183">U12</f>
        <v>49.045000000000002</v>
      </c>
      <c r="V207" s="3">
        <f t="shared" si="183"/>
        <v>120.72799999999999</v>
      </c>
      <c r="W207" s="3">
        <f t="shared" si="183"/>
        <v>154.60900000000001</v>
      </c>
      <c r="X207" s="3">
        <f t="shared" si="183"/>
        <v>240.00900000000001</v>
      </c>
    </row>
    <row r="208" spans="2:24" s="3" customFormat="1" x14ac:dyDescent="0.25">
      <c r="B208" s="9" t="s">
        <v>205</v>
      </c>
      <c r="C208" s="3">
        <f t="shared" ref="C208:D208" si="184">C85</f>
        <v>0</v>
      </c>
      <c r="D208" s="3">
        <f t="shared" si="184"/>
        <v>0</v>
      </c>
      <c r="E208" s="3">
        <f t="shared" ref="E208:J208" si="185">E85</f>
        <v>9.9529999999999994</v>
      </c>
      <c r="F208" s="3">
        <f t="shared" si="185"/>
        <v>9.7970000000000006</v>
      </c>
      <c r="G208" s="3">
        <f t="shared" si="185"/>
        <v>2.9460000000000015</v>
      </c>
      <c r="H208" s="3">
        <f t="shared" si="185"/>
        <v>6.8589999999999982</v>
      </c>
      <c r="I208" s="3">
        <f t="shared" si="185"/>
        <v>3.0209999999999999</v>
      </c>
      <c r="J208" s="3">
        <f t="shared" si="185"/>
        <v>3.101</v>
      </c>
      <c r="K208" s="3">
        <f>K85</f>
        <v>4.4779999999999998</v>
      </c>
      <c r="L208" s="3">
        <f t="shared" ref="L208:P208" si="186">L85</f>
        <v>0</v>
      </c>
      <c r="M208" s="3">
        <f t="shared" si="186"/>
        <v>0</v>
      </c>
      <c r="N208" s="3">
        <f t="shared" si="186"/>
        <v>0</v>
      </c>
      <c r="O208" s="3">
        <f t="shared" si="186"/>
        <v>0</v>
      </c>
      <c r="P208" s="3">
        <f t="shared" si="186"/>
        <v>0</v>
      </c>
      <c r="U208" s="3">
        <f t="shared" ref="U208:X208" si="187">U85</f>
        <v>31.466000000000001</v>
      </c>
      <c r="V208" s="3">
        <f t="shared" si="187"/>
        <v>24.141999999999999</v>
      </c>
      <c r="W208" s="3">
        <f t="shared" si="187"/>
        <v>29.555</v>
      </c>
      <c r="X208" s="3">
        <f t="shared" si="187"/>
        <v>10.6</v>
      </c>
    </row>
    <row r="209" spans="2:24" s="3" customFormat="1" x14ac:dyDescent="0.25">
      <c r="B209" s="9" t="s">
        <v>206</v>
      </c>
      <c r="C209" s="3">
        <f t="shared" ref="C209:D209" si="188">C83</f>
        <v>0</v>
      </c>
      <c r="D209" s="3">
        <f t="shared" si="188"/>
        <v>0</v>
      </c>
      <c r="E209" s="3">
        <f t="shared" ref="E209:J209" si="189">E83</f>
        <v>1.2430000000000001</v>
      </c>
      <c r="F209" s="3">
        <f t="shared" si="189"/>
        <v>0.94900000000000007</v>
      </c>
      <c r="G209" s="3">
        <f t="shared" si="189"/>
        <v>-1.1920000000000002</v>
      </c>
      <c r="H209" s="3">
        <f t="shared" si="189"/>
        <v>-3.5000000000000031E-2</v>
      </c>
      <c r="I209" s="3">
        <f t="shared" si="189"/>
        <v>-3.6219999999999999</v>
      </c>
      <c r="J209" s="3">
        <f t="shared" si="189"/>
        <v>4.7409999999999997</v>
      </c>
      <c r="K209" s="3">
        <f>K83</f>
        <v>0.42999999999999994</v>
      </c>
      <c r="L209" s="3">
        <f t="shared" ref="L209:P209" si="190">L83</f>
        <v>0</v>
      </c>
      <c r="M209" s="3">
        <f t="shared" si="190"/>
        <v>0</v>
      </c>
      <c r="N209" s="3">
        <f t="shared" si="190"/>
        <v>0</v>
      </c>
      <c r="O209" s="3">
        <f t="shared" si="190"/>
        <v>0</v>
      </c>
      <c r="P209" s="3">
        <f t="shared" si="190"/>
        <v>0</v>
      </c>
      <c r="U209" s="3">
        <f t="shared" ref="U209:X209" si="191">U83</f>
        <v>1.6040000000000001</v>
      </c>
      <c r="V209" s="3">
        <f t="shared" si="191"/>
        <v>-2.2250000000000001</v>
      </c>
      <c r="W209" s="3">
        <f t="shared" si="191"/>
        <v>0.96499999999999997</v>
      </c>
      <c r="X209" s="3">
        <f t="shared" si="191"/>
        <v>1.5489999999999997</v>
      </c>
    </row>
    <row r="210" spans="2:24" s="3" customFormat="1" x14ac:dyDescent="0.25">
      <c r="B210" s="9" t="s">
        <v>207</v>
      </c>
      <c r="C210" s="3">
        <f t="shared" ref="C210:D210" si="192">C17</f>
        <v>0</v>
      </c>
      <c r="D210" s="3">
        <f t="shared" si="192"/>
        <v>0</v>
      </c>
      <c r="E210" s="3">
        <f t="shared" ref="E210:K212" si="193">E17</f>
        <v>0.58599999999999997</v>
      </c>
      <c r="F210" s="3">
        <f t="shared" si="193"/>
        <v>2.6840000000000002</v>
      </c>
      <c r="G210" s="3">
        <f t="shared" si="193"/>
        <v>2.6379999999999999</v>
      </c>
      <c r="H210" s="3">
        <f t="shared" si="193"/>
        <v>2.6469999999999998</v>
      </c>
      <c r="I210" s="3">
        <f t="shared" si="193"/>
        <v>1.476</v>
      </c>
      <c r="J210" s="3">
        <f t="shared" si="193"/>
        <v>2.0139999999999998</v>
      </c>
      <c r="K210" s="3">
        <f t="shared" si="193"/>
        <v>0.35499999999999998</v>
      </c>
      <c r="L210" s="3">
        <f t="shared" ref="L210:P210" si="194">L17</f>
        <v>0</v>
      </c>
      <c r="M210" s="3">
        <f t="shared" si="194"/>
        <v>0</v>
      </c>
      <c r="N210" s="3">
        <f t="shared" si="194"/>
        <v>0</v>
      </c>
      <c r="O210" s="3">
        <f t="shared" si="194"/>
        <v>0</v>
      </c>
      <c r="P210" s="3">
        <f t="shared" si="194"/>
        <v>0</v>
      </c>
      <c r="U210" s="3">
        <f t="shared" ref="U210:X210" si="195">U17</f>
        <v>0.19</v>
      </c>
      <c r="V210" s="3">
        <f t="shared" si="195"/>
        <v>0.48099999999999998</v>
      </c>
      <c r="W210" s="3">
        <f t="shared" si="195"/>
        <v>8.5549999999999997</v>
      </c>
      <c r="X210" s="3">
        <f t="shared" si="195"/>
        <v>3.8449999999999998</v>
      </c>
    </row>
    <row r="211" spans="2:24" s="3" customFormat="1" x14ac:dyDescent="0.25">
      <c r="B211" s="9" t="s">
        <v>31</v>
      </c>
      <c r="C211" s="3">
        <f t="shared" ref="C211:D211" si="196">C18</f>
        <v>0</v>
      </c>
      <c r="D211" s="3">
        <f t="shared" si="196"/>
        <v>0</v>
      </c>
      <c r="E211" s="3">
        <f t="shared" si="193"/>
        <v>-0.54600000000000004</v>
      </c>
      <c r="F211" s="3">
        <f t="shared" si="193"/>
        <v>-0.52600000000000002</v>
      </c>
      <c r="G211" s="3">
        <f t="shared" si="193"/>
        <v>-0.48499999999999999</v>
      </c>
      <c r="H211" s="3">
        <f t="shared" si="193"/>
        <v>-0.89800000000000013</v>
      </c>
      <c r="I211" s="3">
        <f t="shared" si="193"/>
        <v>-1.5589999999999999</v>
      </c>
      <c r="J211" s="3">
        <f t="shared" si="193"/>
        <v>-1.2669999999999999</v>
      </c>
      <c r="K211" s="3">
        <f t="shared" si="193"/>
        <v>-3.4540000000000002</v>
      </c>
      <c r="L211" s="3">
        <f t="shared" ref="L211:P212" si="197">L18</f>
        <v>0</v>
      </c>
      <c r="M211" s="3">
        <f t="shared" si="197"/>
        <v>0</v>
      </c>
      <c r="N211" s="3">
        <f t="shared" si="197"/>
        <v>0</v>
      </c>
      <c r="O211" s="3">
        <f t="shared" si="197"/>
        <v>0</v>
      </c>
      <c r="P211" s="3">
        <f t="shared" si="197"/>
        <v>0</v>
      </c>
      <c r="U211" s="3">
        <f t="shared" ref="U211:X212" si="198">U18</f>
        <v>-1.0780000000000001</v>
      </c>
      <c r="V211" s="3">
        <f t="shared" si="198"/>
        <v>-2.9769999999999999</v>
      </c>
      <c r="W211" s="3">
        <f t="shared" si="198"/>
        <v>-2.4550000000000001</v>
      </c>
      <c r="X211" s="3">
        <f t="shared" si="198"/>
        <v>-6.28</v>
      </c>
    </row>
    <row r="212" spans="2:24" s="3" customFormat="1" x14ac:dyDescent="0.25">
      <c r="B212" s="9" t="s">
        <v>208</v>
      </c>
      <c r="C212" s="3">
        <f t="shared" ref="C212:D212" si="199">C19</f>
        <v>0</v>
      </c>
      <c r="D212" s="3">
        <f t="shared" si="199"/>
        <v>0</v>
      </c>
      <c r="E212" s="3">
        <f t="shared" si="193"/>
        <v>0</v>
      </c>
      <c r="F212" s="3">
        <f t="shared" si="193"/>
        <v>0</v>
      </c>
      <c r="G212" s="3">
        <f t="shared" si="193"/>
        <v>0</v>
      </c>
      <c r="H212" s="3">
        <f t="shared" si="193"/>
        <v>-0.874</v>
      </c>
      <c r="I212" s="3">
        <f t="shared" si="193"/>
        <v>0</v>
      </c>
      <c r="J212" s="3">
        <f t="shared" si="193"/>
        <v>0.183</v>
      </c>
      <c r="K212" s="3">
        <f t="shared" si="193"/>
        <v>1.5089999999999999</v>
      </c>
      <c r="L212" s="3">
        <f t="shared" si="197"/>
        <v>0</v>
      </c>
      <c r="M212" s="3">
        <f t="shared" si="197"/>
        <v>0</v>
      </c>
      <c r="N212" s="3">
        <f t="shared" si="197"/>
        <v>0</v>
      </c>
      <c r="O212" s="3">
        <f t="shared" si="197"/>
        <v>0</v>
      </c>
      <c r="P212" s="3">
        <f t="shared" si="197"/>
        <v>0</v>
      </c>
      <c r="U212" s="3">
        <f t="shared" si="198"/>
        <v>-1.6419999999999999</v>
      </c>
      <c r="V212" s="3">
        <f t="shared" si="198"/>
        <v>-0.248</v>
      </c>
      <c r="W212" s="3">
        <f t="shared" si="198"/>
        <v>-0.874</v>
      </c>
      <c r="X212" s="3">
        <f t="shared" si="198"/>
        <v>1.6919999999999999</v>
      </c>
    </row>
    <row r="213" spans="2:24" s="3" customFormat="1" x14ac:dyDescent="0.25">
      <c r="B213" s="9" t="s">
        <v>22</v>
      </c>
      <c r="C213" s="3">
        <f t="shared" ref="C213:D213" si="200">C9</f>
        <v>0</v>
      </c>
      <c r="D213" s="3">
        <f t="shared" si="200"/>
        <v>0</v>
      </c>
      <c r="E213" s="3">
        <f t="shared" ref="E213:J213" si="201">E9</f>
        <v>0.67700000000000005</v>
      </c>
      <c r="F213" s="3">
        <f t="shared" si="201"/>
        <v>1.6519999999999999</v>
      </c>
      <c r="G213" s="3">
        <f t="shared" si="201"/>
        <v>-4.7E-2</v>
      </c>
      <c r="H213" s="3">
        <f t="shared" si="201"/>
        <v>3.1839999999999997</v>
      </c>
      <c r="I213" s="3">
        <f t="shared" si="201"/>
        <v>-0.79100000000000004</v>
      </c>
      <c r="J213" s="3">
        <f t="shared" si="201"/>
        <v>-2.23</v>
      </c>
      <c r="K213" s="3">
        <f>K9</f>
        <v>0.156</v>
      </c>
      <c r="L213" s="3">
        <f t="shared" ref="L213:P213" si="202">L9</f>
        <v>0</v>
      </c>
      <c r="M213" s="3">
        <f t="shared" si="202"/>
        <v>0</v>
      </c>
      <c r="N213" s="3">
        <f t="shared" si="202"/>
        <v>0</v>
      </c>
      <c r="O213" s="3">
        <f t="shared" si="202"/>
        <v>0</v>
      </c>
      <c r="P213" s="3">
        <f t="shared" si="202"/>
        <v>0</v>
      </c>
      <c r="U213" s="3">
        <f t="shared" ref="U213:X213" si="203">U9</f>
        <v>-0.64300000000000002</v>
      </c>
      <c r="V213" s="3">
        <f t="shared" si="203"/>
        <v>1.931</v>
      </c>
      <c r="W213" s="3">
        <f t="shared" si="203"/>
        <v>5.4660000000000002</v>
      </c>
      <c r="X213" s="3">
        <f t="shared" si="203"/>
        <v>-2.8649999999999998</v>
      </c>
    </row>
    <row r="214" spans="2:24" s="3" customFormat="1" x14ac:dyDescent="0.25">
      <c r="B214" s="9" t="s">
        <v>34</v>
      </c>
      <c r="C214" s="3">
        <f t="shared" ref="C214:D214" si="204">C21</f>
        <v>0</v>
      </c>
      <c r="D214" s="3">
        <f t="shared" si="204"/>
        <v>0</v>
      </c>
      <c r="E214" s="3">
        <f t="shared" ref="E214:J214" si="205">E21</f>
        <v>1.399</v>
      </c>
      <c r="F214" s="3">
        <f t="shared" si="205"/>
        <v>11.595000000000001</v>
      </c>
      <c r="G214" s="3">
        <f t="shared" si="205"/>
        <v>-9.4949999999999992</v>
      </c>
      <c r="H214" s="3">
        <f t="shared" si="205"/>
        <v>-3.4990000000000014</v>
      </c>
      <c r="I214" s="3">
        <f t="shared" si="205"/>
        <v>9.2170000000000005</v>
      </c>
      <c r="J214" s="3">
        <f t="shared" si="205"/>
        <v>-3.0430000000000001</v>
      </c>
      <c r="K214" s="3">
        <f>K21</f>
        <v>18.100000000000001</v>
      </c>
      <c r="L214" s="3">
        <f t="shared" ref="L214:P214" si="206">L21</f>
        <v>0</v>
      </c>
      <c r="M214" s="3">
        <f t="shared" si="206"/>
        <v>0</v>
      </c>
      <c r="N214" s="3">
        <f t="shared" si="206"/>
        <v>0</v>
      </c>
      <c r="O214" s="3">
        <f t="shared" si="206"/>
        <v>0</v>
      </c>
      <c r="P214" s="3">
        <f t="shared" si="206"/>
        <v>0</v>
      </c>
      <c r="U214" s="3">
        <f t="shared" ref="U214:X214" si="207">U21</f>
        <v>3.3439999999999999</v>
      </c>
      <c r="V214" s="3">
        <f t="shared" si="207"/>
        <v>2.4159999999999999</v>
      </c>
      <c r="W214" s="3">
        <f t="shared" si="207"/>
        <v>0</v>
      </c>
      <c r="X214" s="3">
        <f t="shared" si="207"/>
        <v>24.274000000000001</v>
      </c>
    </row>
    <row r="215" spans="2:24" s="3" customFormat="1" x14ac:dyDescent="0.25">
      <c r="B215" s="9" t="s">
        <v>209</v>
      </c>
      <c r="F215" s="3">
        <v>0.17599999999999999</v>
      </c>
      <c r="G215" s="3">
        <v>2.8620000000000001</v>
      </c>
      <c r="H215" s="3">
        <v>1.0210000000000001</v>
      </c>
      <c r="I215" s="3">
        <v>0.373</v>
      </c>
      <c r="J215" s="3">
        <v>0.25800000000000001</v>
      </c>
      <c r="K215" s="3">
        <v>2.1999999999999999E-2</v>
      </c>
      <c r="U215" s="3">
        <v>0.82699999999999996</v>
      </c>
      <c r="V215" s="3">
        <v>0.69699999999999995</v>
      </c>
      <c r="W215" s="3">
        <v>4.0590000000000002</v>
      </c>
    </row>
    <row r="216" spans="2:24" s="3" customFormat="1" x14ac:dyDescent="0.25">
      <c r="B216" s="9" t="s">
        <v>210</v>
      </c>
      <c r="F216" s="3">
        <v>0.5</v>
      </c>
      <c r="G216" s="3">
        <v>0.68600000000000005</v>
      </c>
      <c r="H216" s="3">
        <v>0.78399999999999981</v>
      </c>
      <c r="I216" s="3">
        <v>0.34799999999999998</v>
      </c>
      <c r="J216" s="3">
        <v>0.193</v>
      </c>
      <c r="K216" s="3">
        <v>0.63800000000000001</v>
      </c>
      <c r="U216" s="3">
        <v>0.52200000000000002</v>
      </c>
      <c r="V216" s="3">
        <v>7.8719999999999999</v>
      </c>
      <c r="W216" s="3">
        <v>1.97</v>
      </c>
    </row>
    <row r="217" spans="2:24" s="3" customFormat="1" x14ac:dyDescent="0.25">
      <c r="B217" s="9" t="s">
        <v>211</v>
      </c>
      <c r="E217" s="3">
        <v>0.10199999999999999</v>
      </c>
      <c r="H217" s="3">
        <v>-0.10199999999999999</v>
      </c>
      <c r="J217" s="3">
        <v>1.2E-2</v>
      </c>
      <c r="U217" s="3">
        <v>0.40500000000000003</v>
      </c>
      <c r="V217" s="3">
        <v>0.7</v>
      </c>
    </row>
    <row r="218" spans="2:24" s="4" customFormat="1" x14ac:dyDescent="0.25">
      <c r="B218" s="4" t="s">
        <v>212</v>
      </c>
      <c r="C218" s="4">
        <f t="shared" ref="C218" si="208">SUM(C205:C217)</f>
        <v>0</v>
      </c>
      <c r="D218" s="4">
        <f t="shared" ref="D218" si="209">SUM(D205:D217)</f>
        <v>0</v>
      </c>
      <c r="E218" s="4">
        <f t="shared" ref="E218:J218" si="210">SUM(E205:E217)</f>
        <v>69.173000000000002</v>
      </c>
      <c r="F218" s="4">
        <f t="shared" si="210"/>
        <v>186.14499999999998</v>
      </c>
      <c r="G218" s="4">
        <f t="shared" si="210"/>
        <v>-8.3669999999999494</v>
      </c>
      <c r="H218" s="4">
        <f t="shared" si="210"/>
        <v>10.223000000000013</v>
      </c>
      <c r="I218" s="4">
        <f t="shared" si="210"/>
        <v>321.48299999999995</v>
      </c>
      <c r="J218" s="4">
        <f t="shared" si="210"/>
        <v>-55.929000000000016</v>
      </c>
      <c r="K218" s="4">
        <f>SUM(K205:K217)</f>
        <v>374.51300000000003</v>
      </c>
      <c r="L218" s="4">
        <f t="shared" ref="L218:P218" si="211">SUM(L205:L217)</f>
        <v>0</v>
      </c>
      <c r="M218" s="4">
        <f t="shared" si="211"/>
        <v>0</v>
      </c>
      <c r="N218" s="4">
        <f t="shared" si="211"/>
        <v>0</v>
      </c>
      <c r="O218" s="4">
        <f t="shared" si="211"/>
        <v>0</v>
      </c>
      <c r="P218" s="4">
        <f t="shared" si="211"/>
        <v>0</v>
      </c>
      <c r="U218" s="4">
        <f t="shared" ref="U218" si="212">SUM(U205:U217)</f>
        <v>65.115999999999971</v>
      </c>
      <c r="V218" s="4">
        <f t="shared" ref="V218" si="213">SUM(V205:V217)</f>
        <v>26.691000000000042</v>
      </c>
      <c r="W218" s="4">
        <f t="shared" ref="W218" si="214">SUM(W205:W217)</f>
        <v>257.17400000000009</v>
      </c>
      <c r="X218" s="4">
        <f t="shared" ref="X218" si="215">SUM(X205:X217)</f>
        <v>638.22300000000007</v>
      </c>
    </row>
    <row r="219" spans="2:24" x14ac:dyDescent="0.25">
      <c r="B219" s="8" t="s">
        <v>215</v>
      </c>
      <c r="G219" s="26" t="e">
        <f t="shared" ref="G219" si="216">G218/C218-1</f>
        <v>#DIV/0!</v>
      </c>
      <c r="H219" s="26" t="e">
        <f t="shared" ref="H219" si="217">H218/D218-1</f>
        <v>#DIV/0!</v>
      </c>
      <c r="I219" s="26">
        <f t="shared" ref="I219:J219" si="218">I218/E218-1</f>
        <v>3.6475214317725113</v>
      </c>
      <c r="J219" s="26">
        <f t="shared" si="218"/>
        <v>-1.3004593193478204</v>
      </c>
      <c r="K219" s="26">
        <f>K218/G218-1</f>
        <v>-45.760726664276596</v>
      </c>
      <c r="L219" s="26">
        <f t="shared" ref="L219:P219" si="219">L218/H218-1</f>
        <v>-1</v>
      </c>
      <c r="M219" s="26">
        <f t="shared" si="219"/>
        <v>-1</v>
      </c>
      <c r="N219" s="26">
        <f t="shared" si="219"/>
        <v>-1</v>
      </c>
      <c r="O219" s="26">
        <f t="shared" si="219"/>
        <v>-1</v>
      </c>
      <c r="P219" s="26" t="e">
        <f t="shared" si="219"/>
        <v>#DIV/0!</v>
      </c>
      <c r="U219" s="26"/>
      <c r="V219" s="26">
        <f t="shared" ref="V219:W219" si="220">V218/U218-1</f>
        <v>-0.59010074328889894</v>
      </c>
      <c r="W219" s="26">
        <f t="shared" si="220"/>
        <v>8.6352328500243409</v>
      </c>
      <c r="X219" s="26">
        <f>X218/W218-1</f>
        <v>1.4816777745806333</v>
      </c>
    </row>
    <row r="220" spans="2:24" s="26" customFormat="1" x14ac:dyDescent="0.25">
      <c r="B220" s="25" t="s">
        <v>216</v>
      </c>
      <c r="C220" s="26" t="e">
        <f t="shared" ref="C220:E220" si="221">C218/C3</f>
        <v>#DIV/0!</v>
      </c>
      <c r="D220" s="26" t="e">
        <f t="shared" si="221"/>
        <v>#DIV/0!</v>
      </c>
      <c r="E220" s="26">
        <f t="shared" si="221"/>
        <v>0.93748136502859625</v>
      </c>
      <c r="F220" s="26">
        <f t="shared" ref="F220:J220" si="222">F218/F3</f>
        <v>1.6649970035510153</v>
      </c>
      <c r="G220" s="26">
        <f t="shared" si="222"/>
        <v>-8.0368463518653219E-2</v>
      </c>
      <c r="H220" s="26">
        <f t="shared" si="222"/>
        <v>0.11451134136096346</v>
      </c>
      <c r="I220" s="26">
        <f t="shared" si="222"/>
        <v>1.9807215999408521</v>
      </c>
      <c r="J220" s="26">
        <f t="shared" si="222"/>
        <v>-0.30778924892137016</v>
      </c>
      <c r="K220" s="26">
        <f>K218/K3</f>
        <v>1.8853476571152414</v>
      </c>
      <c r="L220" s="26" t="e">
        <f t="shared" ref="L220:P220" si="223">L218/L3</f>
        <v>#DIV/0!</v>
      </c>
      <c r="M220" s="26" t="e">
        <f t="shared" si="223"/>
        <v>#DIV/0!</v>
      </c>
      <c r="N220" s="26" t="e">
        <f t="shared" si="223"/>
        <v>#DIV/0!</v>
      </c>
      <c r="O220" s="26" t="e">
        <f t="shared" si="223"/>
        <v>#DIV/0!</v>
      </c>
      <c r="P220" s="26" t="e">
        <f t="shared" si="223"/>
        <v>#DIV/0!</v>
      </c>
      <c r="U220" s="26">
        <f t="shared" ref="U220:X220" si="224">U218/U3</f>
        <v>0.49508458467971844</v>
      </c>
      <c r="V220" s="26">
        <f t="shared" si="224"/>
        <v>0.15849009548240012</v>
      </c>
      <c r="W220" s="26">
        <f t="shared" si="224"/>
        <v>0.67861666420383804</v>
      </c>
      <c r="X220" s="26">
        <f t="shared" si="224"/>
        <v>1.1760967231904944</v>
      </c>
    </row>
  </sheetData>
  <phoneticPr fontId="6" type="noConversion"/>
  <hyperlinks>
    <hyperlink ref="B101" location="Acquisitions!B3" display="Acq. GRID infrastructure" xr:uid="{CFB5281E-DA01-4890-969D-22F7F8E0B3F3}"/>
  </hyperlinks>
  <pageMargins left="0.7" right="0.7" top="0.75" bottom="0.75" header="0.3" footer="0.3"/>
  <ignoredErrors>
    <ignoredError sqref="E213:P213 C213:D213 X20 U213:X213" formula="1"/>
    <ignoredError sqref="D69:G69 L69:N69" evalError="1"/>
    <ignoredError sqref="H69:K69" evalError="1" formulaRange="1"/>
    <ignoredError sqref="W69:X6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375D-3E89-408F-ACA7-B07ECFA073B1}">
  <dimension ref="B3:C66"/>
  <sheetViews>
    <sheetView workbookViewId="0">
      <pane xSplit="2" ySplit="2" topLeftCell="C39" activePane="bottomRight" state="frozen"/>
      <selection pane="topRight" activeCell="C1" sqref="C1"/>
      <selection pane="bottomLeft" activeCell="A3" sqref="A3"/>
      <selection pane="bottomRight" activeCell="C68" sqref="C68"/>
    </sheetView>
  </sheetViews>
  <sheetFormatPr defaultRowHeight="13.2" x14ac:dyDescent="0.25"/>
  <cols>
    <col min="1" max="1" width="8.88671875" style="8"/>
    <col min="2" max="2" width="60.6640625" style="8" customWidth="1"/>
    <col min="3" max="3" width="10" style="8" customWidth="1"/>
    <col min="4" max="16384" width="8.88671875" style="8"/>
  </cols>
  <sheetData>
    <row r="3" spans="2:3" x14ac:dyDescent="0.25">
      <c r="B3" s="14" t="s">
        <v>148</v>
      </c>
    </row>
    <row r="4" spans="2:3" x14ac:dyDescent="0.25">
      <c r="B4" s="8" t="s">
        <v>125</v>
      </c>
    </row>
    <row r="5" spans="2:3" x14ac:dyDescent="0.25">
      <c r="B5" s="8" t="s">
        <v>124</v>
      </c>
    </row>
    <row r="6" spans="2:3" x14ac:dyDescent="0.25">
      <c r="B6" s="8" t="s">
        <v>126</v>
      </c>
    </row>
    <row r="7" spans="2:3" x14ac:dyDescent="0.25">
      <c r="B7" s="8" t="s">
        <v>149</v>
      </c>
    </row>
    <row r="9" spans="2:3" x14ac:dyDescent="0.25">
      <c r="B9" s="8" t="s">
        <v>137</v>
      </c>
    </row>
    <row r="10" spans="2:3" x14ac:dyDescent="0.25">
      <c r="B10" s="8" t="s">
        <v>127</v>
      </c>
      <c r="C10" s="13">
        <v>5.0312210000000004</v>
      </c>
    </row>
    <row r="11" spans="2:3" x14ac:dyDescent="0.25">
      <c r="B11" s="8" t="s">
        <v>128</v>
      </c>
      <c r="C11" s="8">
        <v>12.06</v>
      </c>
    </row>
    <row r="12" spans="2:3" s="2" customFormat="1" x14ac:dyDescent="0.25">
      <c r="B12" s="2" t="s">
        <v>135</v>
      </c>
      <c r="C12" s="12">
        <f>C10*C11</f>
        <v>60.676525260000005</v>
      </c>
    </row>
    <row r="13" spans="2:3" x14ac:dyDescent="0.25">
      <c r="B13" s="8" t="s">
        <v>129</v>
      </c>
      <c r="C13" s="8">
        <v>6.0970000000000004</v>
      </c>
    </row>
    <row r="14" spans="2:3" s="2" customFormat="1" x14ac:dyDescent="0.25">
      <c r="B14" s="2" t="s">
        <v>134</v>
      </c>
      <c r="C14" s="12">
        <f>+C12+C13</f>
        <v>66.77352526</v>
      </c>
    </row>
    <row r="15" spans="2:3" x14ac:dyDescent="0.25">
      <c r="B15" s="8" t="s">
        <v>130</v>
      </c>
      <c r="C15" s="8">
        <v>1E-3</v>
      </c>
    </row>
    <row r="16" spans="2:3" x14ac:dyDescent="0.25">
      <c r="B16" s="8" t="s">
        <v>136</v>
      </c>
      <c r="C16" s="8">
        <v>-1.1639999999999999</v>
      </c>
    </row>
    <row r="17" spans="2:3" x14ac:dyDescent="0.25">
      <c r="B17" s="8" t="s">
        <v>131</v>
      </c>
      <c r="C17" s="8">
        <v>62.636000000000003</v>
      </c>
    </row>
    <row r="18" spans="2:3" s="2" customFormat="1" x14ac:dyDescent="0.25">
      <c r="B18" s="2" t="s">
        <v>132</v>
      </c>
      <c r="C18" s="12">
        <f>C14+SUM(C15:C17)</f>
        <v>128.24652526</v>
      </c>
    </row>
    <row r="20" spans="2:3" s="10" customFormat="1" x14ac:dyDescent="0.25">
      <c r="B20" s="15" t="s">
        <v>141</v>
      </c>
    </row>
    <row r="21" spans="2:3" s="10" customFormat="1" x14ac:dyDescent="0.25">
      <c r="B21" s="10" t="s">
        <v>51</v>
      </c>
      <c r="C21" s="10">
        <v>1.089</v>
      </c>
    </row>
    <row r="22" spans="2:3" s="10" customFormat="1" x14ac:dyDescent="0.25">
      <c r="B22" s="10" t="s">
        <v>138</v>
      </c>
      <c r="C22" s="10">
        <v>0.32300000000000001</v>
      </c>
    </row>
    <row r="23" spans="2:3" s="10" customFormat="1" x14ac:dyDescent="0.25">
      <c r="B23" s="10" t="s">
        <v>139</v>
      </c>
      <c r="C23" s="10">
        <v>0.17199999999999999</v>
      </c>
    </row>
    <row r="24" spans="2:3" s="10" customFormat="1" x14ac:dyDescent="0.25">
      <c r="B24" s="10" t="s">
        <v>53</v>
      </c>
      <c r="C24" s="10">
        <v>0.193</v>
      </c>
    </row>
    <row r="25" spans="2:3" s="10" customFormat="1" x14ac:dyDescent="0.25">
      <c r="B25" s="10" t="s">
        <v>60</v>
      </c>
      <c r="C25" s="10">
        <v>18.838999999999999</v>
      </c>
    </row>
    <row r="26" spans="2:3" s="10" customFormat="1" x14ac:dyDescent="0.25">
      <c r="B26" s="10" t="s">
        <v>64</v>
      </c>
      <c r="C26" s="10">
        <v>9.6010000000000009</v>
      </c>
    </row>
    <row r="27" spans="2:3" s="10" customFormat="1" x14ac:dyDescent="0.25">
      <c r="B27" s="10" t="s">
        <v>140</v>
      </c>
      <c r="C27" s="10">
        <v>1.1000000000000001</v>
      </c>
    </row>
    <row r="28" spans="2:3" s="5" customFormat="1" x14ac:dyDescent="0.25">
      <c r="B28" s="5" t="s">
        <v>142</v>
      </c>
      <c r="C28" s="5">
        <f>SUM(C21:C27)</f>
        <v>31.317</v>
      </c>
    </row>
    <row r="29" spans="2:3" s="10" customFormat="1" x14ac:dyDescent="0.25">
      <c r="B29" s="15" t="s">
        <v>143</v>
      </c>
    </row>
    <row r="30" spans="2:3" s="10" customFormat="1" x14ac:dyDescent="0.25">
      <c r="B30" s="10" t="s">
        <v>65</v>
      </c>
      <c r="C30" s="10">
        <v>120.767</v>
      </c>
    </row>
    <row r="31" spans="2:3" s="5" customFormat="1" x14ac:dyDescent="0.25">
      <c r="B31" s="5" t="s">
        <v>66</v>
      </c>
      <c r="C31" s="5">
        <f>C28+C30</f>
        <v>152.084</v>
      </c>
    </row>
    <row r="32" spans="2:3" s="10" customFormat="1" x14ac:dyDescent="0.25">
      <c r="B32" s="10" t="s">
        <v>67</v>
      </c>
      <c r="C32" s="10">
        <v>3.4790000000000001</v>
      </c>
    </row>
    <row r="33" spans="2:3" s="10" customFormat="1" x14ac:dyDescent="0.25">
      <c r="B33" s="10" t="s">
        <v>68</v>
      </c>
      <c r="C33" s="10">
        <v>15.07</v>
      </c>
    </row>
    <row r="34" spans="2:3" s="10" customFormat="1" x14ac:dyDescent="0.25">
      <c r="B34" s="10" t="s">
        <v>144</v>
      </c>
      <c r="C34" s="10">
        <v>2E-3</v>
      </c>
    </row>
    <row r="35" spans="2:3" s="10" customFormat="1" x14ac:dyDescent="0.25">
      <c r="B35" s="10" t="s">
        <v>145</v>
      </c>
      <c r="C35" s="10">
        <v>2.4580000000000002</v>
      </c>
    </row>
    <row r="36" spans="2:3" s="10" customFormat="1" x14ac:dyDescent="0.25">
      <c r="B36" s="10" t="s">
        <v>146</v>
      </c>
      <c r="C36" s="10">
        <v>2.8279999999999998</v>
      </c>
    </row>
    <row r="37" spans="2:3" s="5" customFormat="1" x14ac:dyDescent="0.25">
      <c r="B37" s="5" t="s">
        <v>75</v>
      </c>
      <c r="C37" s="5">
        <f>SUM(C32:C36)</f>
        <v>23.837</v>
      </c>
    </row>
    <row r="38" spans="2:3" s="2" customFormat="1" x14ac:dyDescent="0.25">
      <c r="B38" s="2" t="s">
        <v>147</v>
      </c>
      <c r="C38" s="5">
        <f>C31-C37</f>
        <v>128.24700000000001</v>
      </c>
    </row>
    <row r="40" spans="2:3" x14ac:dyDescent="0.25">
      <c r="B40" s="14" t="s">
        <v>150</v>
      </c>
    </row>
    <row r="41" spans="2:3" x14ac:dyDescent="0.25">
      <c r="B41" s="8" t="s">
        <v>151</v>
      </c>
      <c r="C41" s="13">
        <v>0.752</v>
      </c>
    </row>
    <row r="42" spans="2:3" x14ac:dyDescent="0.25">
      <c r="B42" s="8" t="s">
        <v>152</v>
      </c>
      <c r="C42" s="13">
        <v>0.26400000000000001</v>
      </c>
    </row>
    <row r="43" spans="2:3" x14ac:dyDescent="0.25">
      <c r="B43" s="8" t="s">
        <v>153</v>
      </c>
      <c r="C43" s="13">
        <v>0.21099999999999999</v>
      </c>
    </row>
    <row r="44" spans="2:3" x14ac:dyDescent="0.25">
      <c r="B44" s="8" t="s">
        <v>154</v>
      </c>
      <c r="C44" s="13">
        <v>0.159</v>
      </c>
    </row>
    <row r="45" spans="2:3" x14ac:dyDescent="0.25">
      <c r="B45" s="8" t="s">
        <v>155</v>
      </c>
      <c r="C45" s="13">
        <v>2.7E-2</v>
      </c>
    </row>
    <row r="46" spans="2:3" s="2" customFormat="1" x14ac:dyDescent="0.25">
      <c r="B46" s="2" t="s">
        <v>142</v>
      </c>
      <c r="C46" s="12">
        <f>SUM(C41:C45)</f>
        <v>1.413</v>
      </c>
    </row>
    <row r="47" spans="2:3" x14ac:dyDescent="0.25">
      <c r="C47" s="13"/>
    </row>
    <row r="48" spans="2:3" x14ac:dyDescent="0.25">
      <c r="B48" s="14" t="s">
        <v>156</v>
      </c>
      <c r="C48" s="13"/>
    </row>
    <row r="49" spans="2:3" x14ac:dyDescent="0.25">
      <c r="B49" s="8" t="s">
        <v>151</v>
      </c>
      <c r="C49" s="13">
        <v>5.0510000000000002</v>
      </c>
    </row>
    <row r="50" spans="2:3" x14ac:dyDescent="0.25">
      <c r="B50" s="8" t="s">
        <v>157</v>
      </c>
      <c r="C50" s="13">
        <v>0.84899999999999998</v>
      </c>
    </row>
    <row r="51" spans="2:3" x14ac:dyDescent="0.25">
      <c r="B51" s="8" t="s">
        <v>158</v>
      </c>
      <c r="C51" s="13">
        <v>-0.41</v>
      </c>
    </row>
    <row r="52" spans="2:3" s="2" customFormat="1" x14ac:dyDescent="0.25">
      <c r="B52" s="2" t="s">
        <v>142</v>
      </c>
      <c r="C52" s="12">
        <f>SUM(C49:C51)</f>
        <v>5.49</v>
      </c>
    </row>
    <row r="54" spans="2:3" x14ac:dyDescent="0.25">
      <c r="B54" s="14" t="s">
        <v>159</v>
      </c>
    </row>
    <row r="55" spans="2:3" x14ac:dyDescent="0.25">
      <c r="B55" s="8" t="s">
        <v>152</v>
      </c>
      <c r="C55" s="8">
        <v>6.1870000000000003</v>
      </c>
    </row>
    <row r="56" spans="2:3" x14ac:dyDescent="0.25">
      <c r="B56" s="8" t="s">
        <v>153</v>
      </c>
      <c r="C56" s="8">
        <v>0.64800000000000002</v>
      </c>
    </row>
    <row r="57" spans="2:3" x14ac:dyDescent="0.25">
      <c r="B57" s="8" t="s">
        <v>154</v>
      </c>
      <c r="C57" s="8">
        <v>0.80500000000000005</v>
      </c>
    </row>
    <row r="58" spans="2:3" x14ac:dyDescent="0.25">
      <c r="B58" s="8" t="s">
        <v>151</v>
      </c>
      <c r="C58" s="8">
        <v>22.152999999999999</v>
      </c>
    </row>
    <row r="59" spans="2:3" x14ac:dyDescent="0.25">
      <c r="B59" s="8" t="s">
        <v>160</v>
      </c>
      <c r="C59" s="8">
        <v>6.0999999999999999E-2</v>
      </c>
    </row>
    <row r="60" spans="2:3" x14ac:dyDescent="0.25">
      <c r="B60" s="8" t="s">
        <v>145</v>
      </c>
      <c r="C60" s="8">
        <v>-0.372</v>
      </c>
    </row>
    <row r="61" spans="2:3" s="2" customFormat="1" x14ac:dyDescent="0.25">
      <c r="B61" s="2" t="s">
        <v>142</v>
      </c>
      <c r="C61" s="2">
        <f>SUM(C55:C60)</f>
        <v>29.481999999999999</v>
      </c>
    </row>
    <row r="63" spans="2:3" x14ac:dyDescent="0.25">
      <c r="B63" s="14" t="s">
        <v>161</v>
      </c>
    </row>
    <row r="64" spans="2:3" x14ac:dyDescent="0.25">
      <c r="B64" s="8" t="s">
        <v>152</v>
      </c>
      <c r="C64" s="17">
        <v>0.73399999999999999</v>
      </c>
    </row>
    <row r="65" spans="2:3" x14ac:dyDescent="0.25">
      <c r="B65" s="8" t="s">
        <v>162</v>
      </c>
      <c r="C65" s="17">
        <v>2.286</v>
      </c>
    </row>
    <row r="66" spans="2:3" x14ac:dyDescent="0.25">
      <c r="B66" s="2" t="s">
        <v>142</v>
      </c>
      <c r="C66" s="18">
        <f>SUM(C64:C65)</f>
        <v>3.02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FC7B7-2D31-4470-A4BD-CFA4F329E18A}">
  <dimension ref="B2:H21"/>
  <sheetViews>
    <sheetView workbookViewId="0">
      <selection activeCell="H21" sqref="H21"/>
    </sheetView>
  </sheetViews>
  <sheetFormatPr defaultRowHeight="13.2" x14ac:dyDescent="0.25"/>
  <cols>
    <col min="1" max="1" width="8.88671875" style="8"/>
    <col min="2" max="2" width="9.77734375" style="8" bestFit="1" customWidth="1"/>
    <col min="3" max="3" width="15.109375" style="8" bestFit="1" customWidth="1"/>
    <col min="4" max="4" width="7.77734375" style="8" bestFit="1" customWidth="1"/>
    <col min="5" max="5" width="17.88671875" style="8" bestFit="1" customWidth="1"/>
    <col min="6" max="16384" width="8.88671875" style="8"/>
  </cols>
  <sheetData>
    <row r="2" spans="2:8" ht="13.8" thickBot="1" x14ac:dyDescent="0.3">
      <c r="B2" s="42">
        <v>45565</v>
      </c>
    </row>
    <row r="3" spans="2:8" ht="13.8" thickBot="1" x14ac:dyDescent="0.3">
      <c r="C3" s="30" t="s">
        <v>223</v>
      </c>
      <c r="D3" s="31" t="s">
        <v>224</v>
      </c>
      <c r="E3" s="32" t="s">
        <v>225</v>
      </c>
    </row>
    <row r="4" spans="2:8" x14ac:dyDescent="0.25">
      <c r="B4" s="28" t="s">
        <v>219</v>
      </c>
      <c r="C4" s="33">
        <v>483</v>
      </c>
      <c r="D4" s="34">
        <v>20.6</v>
      </c>
      <c r="E4" s="35">
        <v>12</v>
      </c>
      <c r="G4" s="43" t="s">
        <v>236</v>
      </c>
      <c r="H4" s="43" t="s">
        <v>231</v>
      </c>
    </row>
    <row r="5" spans="2:8" x14ac:dyDescent="0.25">
      <c r="B5" s="27" t="s">
        <v>220</v>
      </c>
      <c r="C5" s="36">
        <v>44</v>
      </c>
      <c r="D5" s="37">
        <v>2</v>
      </c>
      <c r="E5" s="38">
        <v>4</v>
      </c>
      <c r="H5" s="43" t="s">
        <v>232</v>
      </c>
    </row>
    <row r="6" spans="2:8" x14ac:dyDescent="0.25">
      <c r="B6" s="27" t="s">
        <v>221</v>
      </c>
      <c r="C6" s="36">
        <v>50</v>
      </c>
      <c r="D6" s="37">
        <v>1.5</v>
      </c>
      <c r="E6" s="38">
        <v>1</v>
      </c>
      <c r="H6" s="43" t="s">
        <v>233</v>
      </c>
    </row>
    <row r="7" spans="2:8" x14ac:dyDescent="0.25">
      <c r="B7" s="27" t="s">
        <v>222</v>
      </c>
      <c r="C7" s="36">
        <v>79</v>
      </c>
      <c r="D7" s="37">
        <v>3.5</v>
      </c>
      <c r="E7" s="38">
        <v>8</v>
      </c>
      <c r="H7" s="43" t="s">
        <v>234</v>
      </c>
    </row>
    <row r="8" spans="2:8" s="2" customFormat="1" ht="13.8" thickBot="1" x14ac:dyDescent="0.3">
      <c r="B8" s="29" t="s">
        <v>142</v>
      </c>
      <c r="C8" s="39">
        <f>SUM(C4:C7)</f>
        <v>656</v>
      </c>
      <c r="D8" s="40">
        <f>SUM(D4:D7)</f>
        <v>27.6</v>
      </c>
      <c r="E8" s="41">
        <f>SUM(E4:E7)</f>
        <v>25</v>
      </c>
      <c r="H8" s="43" t="s">
        <v>235</v>
      </c>
    </row>
    <row r="10" spans="2:8" x14ac:dyDescent="0.25">
      <c r="G10" s="43" t="s">
        <v>237</v>
      </c>
      <c r="H10" s="43" t="s">
        <v>238</v>
      </c>
    </row>
    <row r="11" spans="2:8" x14ac:dyDescent="0.25">
      <c r="H11" s="43" t="s">
        <v>239</v>
      </c>
    </row>
    <row r="12" spans="2:8" x14ac:dyDescent="0.25">
      <c r="H12" s="43" t="s">
        <v>240</v>
      </c>
    </row>
    <row r="13" spans="2:8" x14ac:dyDescent="0.25">
      <c r="H13" s="43" t="s">
        <v>241</v>
      </c>
    </row>
    <row r="15" spans="2:8" x14ac:dyDescent="0.25">
      <c r="G15" s="43" t="s">
        <v>242</v>
      </c>
      <c r="H15" s="43" t="s">
        <v>243</v>
      </c>
    </row>
    <row r="16" spans="2:8" x14ac:dyDescent="0.25">
      <c r="H16" s="8" t="s">
        <v>244</v>
      </c>
    </row>
    <row r="17" spans="7:8" x14ac:dyDescent="0.25">
      <c r="H17" s="43" t="s">
        <v>245</v>
      </c>
    </row>
    <row r="19" spans="7:8" x14ac:dyDescent="0.25">
      <c r="G19" s="43" t="s">
        <v>246</v>
      </c>
      <c r="H19" s="43" t="s">
        <v>247</v>
      </c>
    </row>
    <row r="20" spans="7:8" x14ac:dyDescent="0.25">
      <c r="H20" s="43" t="s">
        <v>248</v>
      </c>
    </row>
    <row r="21" spans="7:8" x14ac:dyDescent="0.25">
      <c r="H21" s="43" t="s">
        <v>249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Acquisitions</vt:lpstr>
      <vt:lpstr>Data Centers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2025-10-13T18:17:25Z</dcterms:modified>
</cp:coreProperties>
</file>