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GegaMukhigulashvili\Desktop\Excel\"/>
    </mc:Choice>
  </mc:AlternateContent>
  <xr:revisionPtr revIDLastSave="0" documentId="13_ncr:1_{6A9A7FC3-1F4A-42E6-8DAE-D718DFB4235D}" xr6:coauthVersionLast="47" xr6:coauthVersionMax="47" xr10:uidLastSave="{00000000-0000-0000-0000-000000000000}"/>
  <bookViews>
    <workbookView xWindow="-108" yWindow="-108" windowWidth="23256" windowHeight="12456" activeTab="1" xr2:uid="{00000000-000D-0000-FFFF-FFFF00000000}"/>
  </bookViews>
  <sheets>
    <sheet name="Main" sheetId="1" r:id="rId1"/>
    <sheet name="Model" sheetId="2" r:id="rId2"/>
    <sheet name="Data Centers"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46" i="2" l="1"/>
  <c r="S46" i="2"/>
  <c r="S55" i="2"/>
  <c r="S56" i="2" s="1"/>
  <c r="T55" i="2"/>
  <c r="T56" i="2" s="1"/>
  <c r="U55" i="2"/>
  <c r="U56" i="2" s="1"/>
  <c r="T47" i="2"/>
  <c r="S39" i="2"/>
  <c r="T39" i="2"/>
  <c r="U39" i="2"/>
  <c r="U46" i="2"/>
  <c r="U34" i="2"/>
  <c r="T34" i="2"/>
  <c r="S34" i="2"/>
  <c r="U33" i="2"/>
  <c r="T33" i="2"/>
  <c r="S33" i="2"/>
  <c r="L33" i="2"/>
  <c r="T70" i="2"/>
  <c r="S70" i="2"/>
  <c r="U70" i="2"/>
  <c r="T69" i="2"/>
  <c r="S69" i="2"/>
  <c r="U69" i="2"/>
  <c r="T67" i="2"/>
  <c r="S67" i="2"/>
  <c r="U67" i="2"/>
  <c r="T65" i="2"/>
  <c r="S65" i="2"/>
  <c r="U65" i="2"/>
  <c r="V86" i="2"/>
  <c r="V85" i="2"/>
  <c r="V84" i="2"/>
  <c r="U84" i="2"/>
  <c r="T84" i="2"/>
  <c r="S84" i="2"/>
  <c r="T88" i="2"/>
  <c r="T76" i="2"/>
  <c r="T78" i="2" s="1"/>
  <c r="T80" i="2" s="1"/>
  <c r="T82" i="2" s="1"/>
  <c r="T86" i="2" s="1"/>
  <c r="S76" i="2"/>
  <c r="S78" i="2" s="1"/>
  <c r="S80" i="2" s="1"/>
  <c r="S82" i="2" s="1"/>
  <c r="S86" i="2" s="1"/>
  <c r="U76" i="2"/>
  <c r="U78" i="2" s="1"/>
  <c r="U80" i="2" s="1"/>
  <c r="U82" i="2" s="1"/>
  <c r="U86" i="2" s="1"/>
  <c r="K77" i="2"/>
  <c r="U88" i="2"/>
  <c r="V88" i="2"/>
  <c r="V5" i="2"/>
  <c r="V9" i="2"/>
  <c r="W29" i="2"/>
  <c r="Q29" i="2"/>
  <c r="M29" i="2"/>
  <c r="N29" i="2"/>
  <c r="O29" i="2"/>
  <c r="P29" i="2"/>
  <c r="Y3" i="2"/>
  <c r="X3" i="2"/>
  <c r="X29" i="2" s="1"/>
  <c r="F85" i="2"/>
  <c r="F84" i="2"/>
  <c r="F86" i="2"/>
  <c r="F39" i="2"/>
  <c r="C9" i="2"/>
  <c r="C24" i="2" s="1"/>
  <c r="C5" i="2"/>
  <c r="C23" i="2" s="1"/>
  <c r="G34" i="2"/>
  <c r="H29" i="2"/>
  <c r="G29" i="2"/>
  <c r="H35" i="2"/>
  <c r="D9" i="2"/>
  <c r="D24" i="2" s="1"/>
  <c r="D5" i="2"/>
  <c r="D23" i="2" s="1"/>
  <c r="M9" i="2"/>
  <c r="M5" i="2"/>
  <c r="E46" i="2"/>
  <c r="E39" i="2"/>
  <c r="W9" i="2"/>
  <c r="W5" i="2"/>
  <c r="I9" i="2"/>
  <c r="I5" i="2"/>
  <c r="F9" i="2"/>
  <c r="F5" i="2"/>
  <c r="K69" i="2"/>
  <c r="K70" i="2"/>
  <c r="S47" i="2" l="1"/>
  <c r="S58" i="2"/>
  <c r="T58" i="2"/>
  <c r="U58" i="2"/>
  <c r="U47" i="2"/>
  <c r="S85" i="2"/>
  <c r="T85" i="2"/>
  <c r="U85" i="2"/>
  <c r="M10" i="2"/>
  <c r="M14" i="2" s="1"/>
  <c r="M16" i="2" s="1"/>
  <c r="M18" i="2" s="1"/>
  <c r="Y29" i="2"/>
  <c r="V10" i="2"/>
  <c r="V14" i="2" s="1"/>
  <c r="V16" i="2" s="1"/>
  <c r="V18" i="2" s="1"/>
  <c r="F10" i="2"/>
  <c r="F14" i="2" s="1"/>
  <c r="F16" i="2" s="1"/>
  <c r="C10" i="2"/>
  <c r="D10" i="2"/>
  <c r="W10" i="2"/>
  <c r="W14" i="2" s="1"/>
  <c r="W16" i="2" s="1"/>
  <c r="W18" i="2" s="1"/>
  <c r="I10" i="2"/>
  <c r="I14" i="2" s="1"/>
  <c r="I16" i="2" s="1"/>
  <c r="J33" i="2"/>
  <c r="I33" i="2"/>
  <c r="H33" i="2"/>
  <c r="G33" i="2"/>
  <c r="F33" i="2"/>
  <c r="E33" i="2"/>
  <c r="K33" i="2"/>
  <c r="H10" i="1"/>
  <c r="H9" i="1"/>
  <c r="H7" i="1"/>
  <c r="H8" i="1" s="1"/>
  <c r="L67" i="2"/>
  <c r="J67" i="2"/>
  <c r="I67" i="2"/>
  <c r="H67" i="2"/>
  <c r="G67" i="2"/>
  <c r="F67" i="2"/>
  <c r="E67" i="2"/>
  <c r="K67" i="2"/>
  <c r="J56" i="2"/>
  <c r="J58" i="2" s="1"/>
  <c r="I56" i="2"/>
  <c r="I58" i="2" s="1"/>
  <c r="H56" i="2"/>
  <c r="H58" i="2" s="1"/>
  <c r="G56" i="2"/>
  <c r="G58" i="2" s="1"/>
  <c r="F56" i="2"/>
  <c r="F58" i="2" s="1"/>
  <c r="E56" i="2"/>
  <c r="E58" i="2" s="1"/>
  <c r="L56" i="2"/>
  <c r="L58" i="2" s="1"/>
  <c r="K56" i="2"/>
  <c r="K58" i="2" s="1"/>
  <c r="L47" i="2"/>
  <c r="J47" i="2"/>
  <c r="H47" i="2"/>
  <c r="G47" i="2"/>
  <c r="F47" i="2"/>
  <c r="E47" i="2"/>
  <c r="I46" i="2"/>
  <c r="I39" i="2"/>
  <c r="K47" i="2"/>
  <c r="J29" i="2"/>
  <c r="I29" i="2"/>
  <c r="I23" i="2"/>
  <c r="L29" i="2"/>
  <c r="K29" i="2"/>
  <c r="K13" i="2"/>
  <c r="L9" i="2"/>
  <c r="L24" i="2" s="1"/>
  <c r="J9" i="2"/>
  <c r="J24" i="2" s="1"/>
  <c r="H9" i="2"/>
  <c r="H24" i="2" s="1"/>
  <c r="G9" i="2"/>
  <c r="G24" i="2" s="1"/>
  <c r="F24" i="2"/>
  <c r="E9" i="2"/>
  <c r="E24" i="2" s="1"/>
  <c r="K9" i="2"/>
  <c r="K24" i="2" s="1"/>
  <c r="L5" i="2"/>
  <c r="J5" i="2"/>
  <c r="H5" i="2"/>
  <c r="H23" i="2" s="1"/>
  <c r="G5" i="2"/>
  <c r="G23" i="2" s="1"/>
  <c r="E5" i="2"/>
  <c r="K5" i="2"/>
  <c r="D14" i="2" l="1"/>
  <c r="D25" i="2"/>
  <c r="C14" i="2"/>
  <c r="C25" i="2"/>
  <c r="I47" i="2"/>
  <c r="I24" i="2"/>
  <c r="F23" i="2"/>
  <c r="I27" i="2"/>
  <c r="I18" i="2"/>
  <c r="H12" i="1"/>
  <c r="F26" i="2"/>
  <c r="H10" i="2"/>
  <c r="H14" i="2" s="1"/>
  <c r="H26" i="2" s="1"/>
  <c r="L10" i="2"/>
  <c r="L14" i="2" s="1"/>
  <c r="I25" i="2"/>
  <c r="E10" i="2"/>
  <c r="E25" i="2" s="1"/>
  <c r="K10" i="2"/>
  <c r="J10" i="2"/>
  <c r="J25" i="2" s="1"/>
  <c r="I26" i="2"/>
  <c r="J23" i="2"/>
  <c r="L23" i="2"/>
  <c r="K23" i="2"/>
  <c r="E23" i="2"/>
  <c r="G10" i="2"/>
  <c r="H25" i="2" l="1"/>
  <c r="C16" i="2"/>
  <c r="C26" i="2"/>
  <c r="D16" i="2"/>
  <c r="D26" i="2"/>
  <c r="L25" i="2"/>
  <c r="K14" i="2"/>
  <c r="K16" i="2" s="1"/>
  <c r="K25" i="2"/>
  <c r="F25" i="2"/>
  <c r="K26" i="2"/>
  <c r="J14" i="2"/>
  <c r="J26" i="2" s="1"/>
  <c r="H16" i="2"/>
  <c r="E14" i="2"/>
  <c r="E16" i="2" s="1"/>
  <c r="G14" i="2"/>
  <c r="G25" i="2"/>
  <c r="L26" i="2"/>
  <c r="L16" i="2"/>
  <c r="D18" i="2" l="1"/>
  <c r="D27" i="2"/>
  <c r="C18" i="2"/>
  <c r="C27" i="2"/>
  <c r="L27" i="2"/>
  <c r="L18" i="2"/>
  <c r="H18" i="2"/>
  <c r="H27" i="2"/>
  <c r="K27" i="2"/>
  <c r="K18" i="2"/>
  <c r="E18" i="2"/>
  <c r="E27" i="2"/>
  <c r="E26" i="2"/>
  <c r="J16" i="2"/>
  <c r="J27" i="2" s="1"/>
  <c r="F27" i="2"/>
  <c r="F18" i="2"/>
  <c r="G26" i="2"/>
  <c r="G16" i="2"/>
  <c r="G18" i="2" l="1"/>
  <c r="G27" i="2"/>
  <c r="J18" i="2"/>
</calcChain>
</file>

<file path=xl/sharedStrings.xml><?xml version="1.0" encoding="utf-8"?>
<sst xmlns="http://schemas.openxmlformats.org/spreadsheetml/2006/main" count="142" uniqueCount="123">
  <si>
    <t>Main</t>
  </si>
  <si>
    <t>P</t>
  </si>
  <si>
    <t>S/O</t>
  </si>
  <si>
    <t>MC</t>
  </si>
  <si>
    <t>D</t>
  </si>
  <si>
    <t>C</t>
  </si>
  <si>
    <t>EV</t>
  </si>
  <si>
    <t>Q225</t>
  </si>
  <si>
    <t>Q423</t>
  </si>
  <si>
    <t>Q124</t>
  </si>
  <si>
    <t>Q224</t>
  </si>
  <si>
    <t>Q324</t>
  </si>
  <si>
    <t>Q424</t>
  </si>
  <si>
    <t>Q125</t>
  </si>
  <si>
    <t>Revnue</t>
  </si>
  <si>
    <t>COGS</t>
  </si>
  <si>
    <t>Gross Profit</t>
  </si>
  <si>
    <t>R&amp;D</t>
  </si>
  <si>
    <t>SG&amp;A</t>
  </si>
  <si>
    <t>D&amp;A</t>
  </si>
  <si>
    <t>OpEx</t>
  </si>
  <si>
    <t>OpInc</t>
  </si>
  <si>
    <t>Interest Inc</t>
  </si>
  <si>
    <t>Interest Ex</t>
  </si>
  <si>
    <t>Other</t>
  </si>
  <si>
    <t>Pretax Income</t>
  </si>
  <si>
    <t>Taxes</t>
  </si>
  <si>
    <t>Net Income</t>
  </si>
  <si>
    <t>EPS</t>
  </si>
  <si>
    <t>Gross Margin</t>
  </si>
  <si>
    <t>Op Margin</t>
  </si>
  <si>
    <t>Interest Margin</t>
  </si>
  <si>
    <t>Tax Margin</t>
  </si>
  <si>
    <t>Net Margin</t>
  </si>
  <si>
    <t>YoY Revenue</t>
  </si>
  <si>
    <t>Net Cash</t>
  </si>
  <si>
    <t>Cash</t>
  </si>
  <si>
    <t>A/R</t>
  </si>
  <si>
    <t>Prepaids</t>
  </si>
  <si>
    <t>Restricted cash</t>
  </si>
  <si>
    <t>VAT reclaimable</t>
  </si>
  <si>
    <t>OCA</t>
  </si>
  <si>
    <t>PP&amp;A</t>
  </si>
  <si>
    <t>Intangible assets</t>
  </si>
  <si>
    <t>Operating lease ROU</t>
  </si>
  <si>
    <t>Equity investment</t>
  </si>
  <si>
    <t>Non-market investment</t>
  </si>
  <si>
    <t xml:space="preserve">Deferred tax </t>
  </si>
  <si>
    <t>ONCA</t>
  </si>
  <si>
    <t>Total assets</t>
  </si>
  <si>
    <t xml:space="preserve">A/P and accrued </t>
  </si>
  <si>
    <t>Debt, C</t>
  </si>
  <si>
    <t>Taxes payable</t>
  </si>
  <si>
    <t>Deferred revenue</t>
  </si>
  <si>
    <t>OCL</t>
  </si>
  <si>
    <t>Operating lease liabilities</t>
  </si>
  <si>
    <t>Debt, NC</t>
  </si>
  <si>
    <t>Other accrued liabilities</t>
  </si>
  <si>
    <t>Total liabilities</t>
  </si>
  <si>
    <t>SE</t>
  </si>
  <si>
    <t>L+SE</t>
  </si>
  <si>
    <t>Adj. EBITDA</t>
  </si>
  <si>
    <t>CFFO</t>
  </si>
  <si>
    <t>CapEx</t>
  </si>
  <si>
    <t>FCF</t>
  </si>
  <si>
    <t>FCF Margin</t>
  </si>
  <si>
    <t>CapEx Margin</t>
  </si>
  <si>
    <t>Nebius’s core business is an AI cloud platform built for intensive AI workloads.</t>
  </si>
  <si>
    <t>With proprietary cloud software architecture and hardware designed in-house, Nebius gives AI builders
the compute, storage, managed services and tools they need to build, tune and run their
models.</t>
  </si>
  <si>
    <t>Business</t>
  </si>
  <si>
    <t>Other businesses:</t>
  </si>
  <si>
    <t>Avride — one of the most experienced teams developing autonomous driving technology for self-driving cars and delivery robots.</t>
  </si>
  <si>
    <t>TripleTen — a leading edtech player in the US and certain other markets, re-skilling people for careers in tech.</t>
  </si>
  <si>
    <t>The Group also holds equity stakes in other businesses including ClickHouse and Toloka.</t>
  </si>
  <si>
    <t>Earnings Call</t>
  </si>
  <si>
    <t>Capacity</t>
  </si>
  <si>
    <t>Capacity:</t>
  </si>
  <si>
    <t>Location</t>
  </si>
  <si>
    <t>Capacity (MW)</t>
  </si>
  <si>
    <t>Planned Expansion</t>
  </si>
  <si>
    <t>GPUs</t>
  </si>
  <si>
    <t>Other Key Features</t>
  </si>
  <si>
    <t>Uses free cooling, advanced heat recovery system (repurposes 20,000 MWh of server heat for residential heating), and has a Power Usage Effectiveness (PUE) as low as 1.1</t>
  </si>
  <si>
    <t>Moreenikatu 6
Mäntsälä, Finland</t>
  </si>
  <si>
    <t>114 Rue Ambroise Croizat
93200 Saint Denis, France</t>
  </si>
  <si>
    <t>No data</t>
  </si>
  <si>
    <r>
      <t xml:space="preserve">Features NVIDIA </t>
    </r>
    <r>
      <rPr>
        <b/>
        <sz val="11"/>
        <color theme="1"/>
        <rFont val="Calibri"/>
        <family val="2"/>
        <scheme val="minor"/>
      </rPr>
      <t>H200 Tensor Core</t>
    </r>
    <r>
      <rPr>
        <sz val="11"/>
        <color theme="1"/>
        <rFont val="Calibri"/>
        <family val="2"/>
        <scheme val="minor"/>
      </rPr>
      <t xml:space="preserve"> GPUs. </t>
    </r>
  </si>
  <si>
    <t>Status</t>
  </si>
  <si>
    <t>Operating</t>
  </si>
  <si>
    <t>Valhallarbraut 868
235 Reykjanesbr,
Iceland</t>
  </si>
  <si>
    <t>Expected to be fully operational by the end of Q1 2025</t>
  </si>
  <si>
    <t>Na</t>
  </si>
  <si>
    <t>1601 McGee St
64108 Kansas City
Missouri, USA</t>
  </si>
  <si>
    <r>
      <t xml:space="preserve">Primarily NVIDIA </t>
    </r>
    <r>
      <rPr>
        <b/>
        <sz val="11"/>
        <color theme="1"/>
        <rFont val="Calibri"/>
        <family val="2"/>
        <scheme val="minor"/>
      </rPr>
      <t>H200 Tensor Core GPUs</t>
    </r>
    <r>
      <rPr>
        <sz val="11"/>
        <color theme="1"/>
        <rFont val="Calibri"/>
        <family val="2"/>
        <scheme val="minor"/>
      </rPr>
      <t xml:space="preserve">, with future plans to integrate the </t>
    </r>
    <r>
      <rPr>
        <b/>
        <sz val="11"/>
        <color theme="1"/>
        <rFont val="Calibri"/>
        <family val="2"/>
        <scheme val="minor"/>
      </rPr>
      <t xml:space="preserve">NVIDIA Blackwell platform. </t>
    </r>
    <r>
      <rPr>
        <sz val="11"/>
        <color theme="1"/>
        <rFont val="Calibri"/>
        <family val="2"/>
        <scheme val="minor"/>
      </rPr>
      <t>Scheduled to go live in Q1 2025</t>
    </r>
  </si>
  <si>
    <t>within Vineland, New Jersey
08361 Vineland
New Jersey, USA</t>
  </si>
  <si>
    <t>First phase to be completed in just 20 weeks</t>
  </si>
  <si>
    <r>
      <rPr>
        <b/>
        <sz val="10"/>
        <color theme="1"/>
        <rFont val="Arial"/>
        <family val="2"/>
      </rPr>
      <t>Data Centers and Expansions:</t>
    </r>
    <r>
      <rPr>
        <sz val="10"/>
        <color theme="1"/>
        <rFont val="Arial"/>
        <family val="2"/>
      </rPr>
      <t xml:space="preserve"> Aggressive ramp-up in capacity. By end-2025, expect to secure 220MW of connected power (active or ready for GPU deployment), including data centers in New Jersey (US) and Finland. Nearly closed on two substantial new greenfield sites in the United States. Overall, in process of securing &gt;1GW of power by end-2026 to capture industry growth.</t>
    </r>
  </si>
  <si>
    <t>GPU Details: Oversold on previous-generation Hoppers (likely H100/H200), leading to deliberate wait for new Blackwell GPUs, which are now ramping up in masses. This delayed faster growth but positions for acceleration. No specific counts mentioned, but software cloud platform enhanced to support expanding capacity and large-scale clusters.</t>
  </si>
  <si>
    <r>
      <rPr>
        <b/>
        <sz val="10"/>
        <color theme="1"/>
        <rFont val="Arial"/>
        <family val="2"/>
      </rPr>
      <t>Quote from Arkady Volozh:</t>
    </r>
    <r>
      <rPr>
        <sz val="10"/>
        <color theme="1"/>
        <rFont val="Arial"/>
        <family val="2"/>
      </rPr>
      <t xml:space="preserve"> "We could grow faster, but we were oversold on all of our supply of previous generation hoppers, and we decided to wait for the new generation of GPUs to come. And finally, the new Blackwells are coming to the market in masses, and in parallel, we are dramatically increasing our data center capacity. That's why we expect to significantly increase our sales... by the end of this year... By the end of this year, we expect to have secured 220 megawatts of connected power that is either active or ready for GPU deployment, and this expansion includes our data centers in New Jersey and Finland. In addition, we have nearly closed on 2 substantial new greenfield sites in the United States. And overall, we are in the process of securing more than 1 gigawatt of power by the end of 2026... We made big enhancements to our software cloud platform... to support our expanding capacity and to meet the demand of those large-scale clusters."</t>
    </r>
  </si>
  <si>
    <t>Annualizzed run-rate revenue (ARR) guidance increased to $900milion to $1.1bn from $700M-$1B for the end of 2025</t>
  </si>
  <si>
    <t>https://www.datacentermap.com/c/nebius/</t>
  </si>
  <si>
    <r>
      <t xml:space="preserve">In process of securing </t>
    </r>
    <r>
      <rPr>
        <b/>
        <sz val="10"/>
        <color theme="1"/>
        <rFont val="Arial"/>
        <family val="2"/>
      </rPr>
      <t>&gt;1GW</t>
    </r>
    <r>
      <rPr>
        <sz val="10"/>
        <color theme="1"/>
        <rFont val="Arial"/>
        <family val="2"/>
      </rPr>
      <t xml:space="preserve"> of power by the end of 2026 </t>
    </r>
  </si>
  <si>
    <r>
      <rPr>
        <b/>
        <sz val="10"/>
        <color theme="1"/>
        <rFont val="Arial"/>
        <family val="2"/>
      </rPr>
      <t>220MW</t>
    </r>
    <r>
      <rPr>
        <sz val="10"/>
        <color theme="1"/>
        <rFont val="Arial"/>
        <family val="2"/>
      </rPr>
      <t xml:space="preserve"> by end-2025,</t>
    </r>
    <r>
      <rPr>
        <b/>
        <sz val="10"/>
        <color theme="1"/>
        <rFont val="Arial"/>
        <family val="2"/>
      </rPr>
      <t xml:space="preserve"> &gt;1GW</t>
    </r>
    <r>
      <rPr>
        <sz val="10"/>
        <color theme="1"/>
        <rFont val="Arial"/>
        <family val="2"/>
      </rPr>
      <t xml:space="preserve"> by end-2026</t>
    </r>
  </si>
  <si>
    <t>Q1225</t>
  </si>
  <si>
    <r>
      <t xml:space="preserve">CapEx Guidance: </t>
    </r>
    <r>
      <rPr>
        <b/>
        <sz val="10"/>
        <color theme="1"/>
        <rFont val="Arial"/>
        <family val="2"/>
      </rPr>
      <t>$2bn</t>
    </r>
  </si>
  <si>
    <t>Q323</t>
  </si>
  <si>
    <t>Q223</t>
  </si>
  <si>
    <t>Revenue from discontinued operations (Yandex)</t>
  </si>
  <si>
    <t>Operating costs and expenses from discontinued operations</t>
  </si>
  <si>
    <t>Income from discontinued operations</t>
  </si>
  <si>
    <t>Net Income from discontinued operations</t>
  </si>
  <si>
    <t>Operating Margin</t>
  </si>
  <si>
    <t>Q325</t>
  </si>
  <si>
    <t>Q425</t>
  </si>
  <si>
    <t>Q126</t>
  </si>
  <si>
    <t>Q226</t>
  </si>
  <si>
    <t>Q326</t>
  </si>
  <si>
    <t>Q426</t>
  </si>
  <si>
    <t>Other Income</t>
  </si>
  <si>
    <t>CFFI</t>
  </si>
  <si>
    <t>CFFF</t>
  </si>
  <si>
    <t>CF</t>
  </si>
  <si>
    <t>(Yandex)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</si>
</sst>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0"/>
      <color theme="1"/>
      <name val="Arial"/>
      <family val="2"/>
    </font>
    <font>
      <sz val="10"/>
      <color theme="1"/>
      <name val="Arial"/>
      <family val="2"/>
    </font>
    <font>
      <b/>
      <sz val="10"/>
      <color theme="1"/>
      <name val="Arial"/>
      <family val="2"/>
    </font>
    <font>
      <u/>
      <sz val="11"/>
      <color theme="10"/>
      <name val="Calibri"/>
      <family val="2"/>
      <scheme val="minor"/>
    </font>
    <font>
      <sz val="8"/>
      <name val="Calibri"/>
      <family val="2"/>
      <scheme val="minor"/>
    </font>
    <font>
      <b/>
      <u/>
      <sz val="10"/>
      <color theme="1"/>
      <name val="Arial"/>
      <family val="2"/>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2" fillId="0" borderId="0" xfId="0" applyFont="1"/>
    <xf numFmtId="0" fontId="4" fillId="0" borderId="0" xfId="1"/>
    <xf numFmtId="0" fontId="3" fillId="0" borderId="0" xfId="0" applyFont="1"/>
    <xf numFmtId="164" fontId="2" fillId="0" borderId="0" xfId="0" applyNumberFormat="1" applyFont="1"/>
    <xf numFmtId="164" fontId="3" fillId="0" borderId="0" xfId="0" applyNumberFormat="1" applyFont="1"/>
    <xf numFmtId="10" fontId="2" fillId="0" borderId="0" xfId="0" applyNumberFormat="1" applyFont="1"/>
    <xf numFmtId="3" fontId="2" fillId="0" borderId="0" xfId="0" applyNumberFormat="1" applyFont="1"/>
    <xf numFmtId="0" fontId="6" fillId="0" borderId="0" xfId="0" applyFont="1"/>
    <xf numFmtId="0" fontId="0" fillId="0" borderId="0" xfId="0" applyAlignment="1">
      <alignment wrapText="1"/>
    </xf>
    <xf numFmtId="3" fontId="0" fillId="0" borderId="0" xfId="0" applyNumberFormat="1"/>
    <xf numFmtId="0" fontId="7" fillId="0" borderId="0" xfId="0" applyFont="1"/>
    <xf numFmtId="0" fontId="7" fillId="0" borderId="0" xfId="0" applyFont="1" applyAlignment="1">
      <alignment horizontal="center"/>
    </xf>
    <xf numFmtId="0" fontId="0" fillId="0" borderId="0" xfId="0" applyAlignment="1">
      <alignment horizontal="right" vertical="center"/>
    </xf>
    <xf numFmtId="3" fontId="0" fillId="0" borderId="0" xfId="0" applyNumberFormat="1" applyAlignment="1">
      <alignment horizontal="righ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vertical="center"/>
    </xf>
    <xf numFmtId="3" fontId="0" fillId="0" borderId="0" xfId="0" applyNumberFormat="1" applyAlignment="1">
      <alignment vertical="center"/>
    </xf>
    <xf numFmtId="3" fontId="0" fillId="0" borderId="0" xfId="0" applyNumberForma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7" fillId="0" borderId="0" xfId="0" applyFont="1" applyAlignment="1">
      <alignment horizontal="center"/>
    </xf>
    <xf numFmtId="10" fontId="1" fillId="0" borderId="0" xfId="0" applyNumberFormat="1" applyFont="1"/>
    <xf numFmtId="164" fontId="1" fillId="0" borderId="0" xfId="0" applyNumberFormat="1" applyFont="1"/>
    <xf numFmtId="164" fontId="2" fillId="2" borderId="0" xfId="0" applyNumberFormat="1" applyFont="1" applyFill="1"/>
    <xf numFmtId="0" fontId="1" fillId="0" borderId="1" xfId="0" applyFont="1" applyBorder="1" applyAlignment="1">
      <alignment horizontal="center"/>
    </xf>
    <xf numFmtId="0" fontId="2"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76200</xdr:rowOff>
    </xdr:from>
    <xdr:to>
      <xdr:col>11</xdr:col>
      <xdr:colOff>7620</xdr:colOff>
      <xdr:row>72</xdr:row>
      <xdr:rowOff>129540</xdr:rowOff>
    </xdr:to>
    <xdr:cxnSp macro="">
      <xdr:nvCxnSpPr>
        <xdr:cNvPr id="3" name="Straight Connector 2">
          <a:extLst>
            <a:ext uri="{FF2B5EF4-FFF2-40B4-BE49-F238E27FC236}">
              <a16:creationId xmlns:a16="http://schemas.microsoft.com/office/drawing/2014/main" id="{CE7ABEAC-86F2-DA36-701C-E148DB906EE9}"/>
            </a:ext>
          </a:extLst>
        </xdr:cNvPr>
        <xdr:cNvCxnSpPr/>
      </xdr:nvCxnSpPr>
      <xdr:spPr>
        <a:xfrm flipV="1">
          <a:off x="6979920" y="76200"/>
          <a:ext cx="7620" cy="116357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0</xdr:row>
      <xdr:rowOff>0</xdr:rowOff>
    </xdr:from>
    <xdr:to>
      <xdr:col>23</xdr:col>
      <xdr:colOff>7620</xdr:colOff>
      <xdr:row>72</xdr:row>
      <xdr:rowOff>53340</xdr:rowOff>
    </xdr:to>
    <xdr:cxnSp macro="">
      <xdr:nvCxnSpPr>
        <xdr:cNvPr id="5" name="Straight Connector 4">
          <a:extLst>
            <a:ext uri="{FF2B5EF4-FFF2-40B4-BE49-F238E27FC236}">
              <a16:creationId xmlns:a16="http://schemas.microsoft.com/office/drawing/2014/main" id="{4E4E46AF-E421-49E7-BE02-12C9108D4BCF}"/>
            </a:ext>
          </a:extLst>
        </xdr:cNvPr>
        <xdr:cNvCxnSpPr/>
      </xdr:nvCxnSpPr>
      <xdr:spPr>
        <a:xfrm flipV="1">
          <a:off x="13075920" y="0"/>
          <a:ext cx="7620" cy="116357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114300</xdr:colOff>
      <xdr:row>2</xdr:row>
      <xdr:rowOff>233680</xdr:rowOff>
    </xdr:from>
    <xdr:to>
      <xdr:col>12</xdr:col>
      <xdr:colOff>339090</xdr:colOff>
      <xdr:row>3</xdr:row>
      <xdr:rowOff>937260</xdr:rowOff>
    </xdr:to>
    <xdr:pic>
      <xdr:nvPicPr>
        <xdr:cNvPr id="3" name="Picture 2" descr="Kuva: Yandex - ilmakuva ilmavalokuva Mäntsälä Moreenikatu Yandex datakeskus  - Kuvapankki - Kuvatoimisto Vastavalo.net">
          <a:extLst>
            <a:ext uri="{FF2B5EF4-FFF2-40B4-BE49-F238E27FC236}">
              <a16:creationId xmlns:a16="http://schemas.microsoft.com/office/drawing/2014/main" id="{BD48FEC9-D96B-95E1-6AB1-014E6CB9DC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1440" y="599440"/>
          <a:ext cx="1443990" cy="962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114301</xdr:colOff>
      <xdr:row>4</xdr:row>
      <xdr:rowOff>38100</xdr:rowOff>
    </xdr:from>
    <xdr:to>
      <xdr:col>12</xdr:col>
      <xdr:colOff>76201</xdr:colOff>
      <xdr:row>4</xdr:row>
      <xdr:rowOff>686303</xdr:rowOff>
    </xdr:to>
    <xdr:pic>
      <xdr:nvPicPr>
        <xdr:cNvPr id="4" name="Picture 3" descr="Equinix Data Center in Saint-Denis, France">
          <a:extLst>
            <a:ext uri="{FF2B5EF4-FFF2-40B4-BE49-F238E27FC236}">
              <a16:creationId xmlns:a16="http://schemas.microsoft.com/office/drawing/2014/main" id="{29973F4F-5899-E3DF-105C-0DFF0E0021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1441" y="1638300"/>
          <a:ext cx="1181100" cy="648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259081</xdr:colOff>
      <xdr:row>4</xdr:row>
      <xdr:rowOff>29418</xdr:rowOff>
    </xdr:from>
    <xdr:to>
      <xdr:col>14</xdr:col>
      <xdr:colOff>38100</xdr:colOff>
      <xdr:row>4</xdr:row>
      <xdr:rowOff>718029</xdr:rowOff>
    </xdr:to>
    <xdr:pic>
      <xdr:nvPicPr>
        <xdr:cNvPr id="5" name="Picture 4">
          <a:extLst>
            <a:ext uri="{FF2B5EF4-FFF2-40B4-BE49-F238E27FC236}">
              <a16:creationId xmlns:a16="http://schemas.microsoft.com/office/drawing/2014/main" id="{E1C5E209-88FA-9A57-1D66-820FB7E58699}"/>
            </a:ext>
          </a:extLst>
        </xdr:cNvPr>
        <xdr:cNvPicPr>
          <a:picLocks noChangeAspect="1"/>
        </xdr:cNvPicPr>
      </xdr:nvPicPr>
      <xdr:blipFill>
        <a:blip xmlns:r="http://schemas.openxmlformats.org/officeDocument/2006/relationships" r:embed="rId3"/>
        <a:stretch>
          <a:fillRect/>
        </a:stretch>
      </xdr:blipFill>
      <xdr:spPr>
        <a:xfrm>
          <a:off x="8442961" y="1629618"/>
          <a:ext cx="998219" cy="688611"/>
        </a:xfrm>
        <a:prstGeom prst="rect">
          <a:avLst/>
        </a:prstGeom>
      </xdr:spPr>
    </xdr:pic>
    <xdr:clientData/>
  </xdr:twoCellAnchor>
  <xdr:twoCellAnchor editAs="oneCell">
    <xdr:from>
      <xdr:col>12</xdr:col>
      <xdr:colOff>380999</xdr:colOff>
      <xdr:row>2</xdr:row>
      <xdr:rowOff>213360</xdr:rowOff>
    </xdr:from>
    <xdr:to>
      <xdr:col>15</xdr:col>
      <xdr:colOff>185360</xdr:colOff>
      <xdr:row>3</xdr:row>
      <xdr:rowOff>929640</xdr:rowOff>
    </xdr:to>
    <xdr:pic>
      <xdr:nvPicPr>
        <xdr:cNvPr id="6" name="Picture 5">
          <a:extLst>
            <a:ext uri="{FF2B5EF4-FFF2-40B4-BE49-F238E27FC236}">
              <a16:creationId xmlns:a16="http://schemas.microsoft.com/office/drawing/2014/main" id="{C463CDF1-685A-E779-1CA0-9661E5873AEF}"/>
            </a:ext>
          </a:extLst>
        </xdr:cNvPr>
        <xdr:cNvPicPr>
          <a:picLocks noChangeAspect="1"/>
        </xdr:cNvPicPr>
      </xdr:nvPicPr>
      <xdr:blipFill>
        <a:blip xmlns:r="http://schemas.openxmlformats.org/officeDocument/2006/relationships" r:embed="rId4"/>
        <a:stretch>
          <a:fillRect/>
        </a:stretch>
      </xdr:blipFill>
      <xdr:spPr>
        <a:xfrm>
          <a:off x="9197339" y="579120"/>
          <a:ext cx="1633161" cy="975360"/>
        </a:xfrm>
        <a:prstGeom prst="rect">
          <a:avLst/>
        </a:prstGeom>
      </xdr:spPr>
    </xdr:pic>
    <xdr:clientData/>
  </xdr:twoCellAnchor>
  <xdr:twoCellAnchor editAs="oneCell">
    <xdr:from>
      <xdr:col>10</xdr:col>
      <xdr:colOff>114301</xdr:colOff>
      <xdr:row>4</xdr:row>
      <xdr:rowOff>729450</xdr:rowOff>
    </xdr:from>
    <xdr:to>
      <xdr:col>11</xdr:col>
      <xdr:colOff>312420</xdr:colOff>
      <xdr:row>5</xdr:row>
      <xdr:rowOff>536067</xdr:rowOff>
    </xdr:to>
    <xdr:pic>
      <xdr:nvPicPr>
        <xdr:cNvPr id="7" name="Picture 6" descr="Verne: Reykjanesbr Campus Data Center">
          <a:extLst>
            <a:ext uri="{FF2B5EF4-FFF2-40B4-BE49-F238E27FC236}">
              <a16:creationId xmlns:a16="http://schemas.microsoft.com/office/drawing/2014/main" id="{366CA28C-116D-0009-0A80-5ADB6B40901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711441" y="2329650"/>
          <a:ext cx="807719" cy="538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373381</xdr:colOff>
      <xdr:row>4</xdr:row>
      <xdr:rowOff>727411</xdr:rowOff>
    </xdr:from>
    <xdr:to>
      <xdr:col>13</xdr:col>
      <xdr:colOff>373380</xdr:colOff>
      <xdr:row>5</xdr:row>
      <xdr:rowOff>541695</xdr:rowOff>
    </xdr:to>
    <xdr:pic>
      <xdr:nvPicPr>
        <xdr:cNvPr id="8" name="Picture 7">
          <a:extLst>
            <a:ext uri="{FF2B5EF4-FFF2-40B4-BE49-F238E27FC236}">
              <a16:creationId xmlns:a16="http://schemas.microsoft.com/office/drawing/2014/main" id="{3F44B5C9-C248-B856-D645-F06901B48B34}"/>
            </a:ext>
          </a:extLst>
        </xdr:cNvPr>
        <xdr:cNvPicPr>
          <a:picLocks noChangeAspect="1"/>
        </xdr:cNvPicPr>
      </xdr:nvPicPr>
      <xdr:blipFill>
        <a:blip xmlns:r="http://schemas.openxmlformats.org/officeDocument/2006/relationships" r:embed="rId6"/>
        <a:stretch>
          <a:fillRect/>
        </a:stretch>
      </xdr:blipFill>
      <xdr:spPr>
        <a:xfrm>
          <a:off x="8580121" y="2327611"/>
          <a:ext cx="1219199" cy="545804"/>
        </a:xfrm>
        <a:prstGeom prst="rect">
          <a:avLst/>
        </a:prstGeom>
      </xdr:spPr>
    </xdr:pic>
    <xdr:clientData/>
  </xdr:twoCellAnchor>
  <xdr:twoCellAnchor editAs="oneCell">
    <xdr:from>
      <xdr:col>12</xdr:col>
      <xdr:colOff>53341</xdr:colOff>
      <xdr:row>6</xdr:row>
      <xdr:rowOff>24275</xdr:rowOff>
    </xdr:from>
    <xdr:to>
      <xdr:col>13</xdr:col>
      <xdr:colOff>114300</xdr:colOff>
      <xdr:row>6</xdr:row>
      <xdr:rowOff>754381</xdr:rowOff>
    </xdr:to>
    <xdr:pic>
      <xdr:nvPicPr>
        <xdr:cNvPr id="10" name="Picture 9">
          <a:extLst>
            <a:ext uri="{FF2B5EF4-FFF2-40B4-BE49-F238E27FC236}">
              <a16:creationId xmlns:a16="http://schemas.microsoft.com/office/drawing/2014/main" id="{0E3676DC-2C71-EE49-8B0F-AAE6F21196BF}"/>
            </a:ext>
          </a:extLst>
        </xdr:cNvPr>
        <xdr:cNvPicPr>
          <a:picLocks noChangeAspect="1"/>
        </xdr:cNvPicPr>
      </xdr:nvPicPr>
      <xdr:blipFill>
        <a:blip xmlns:r="http://schemas.openxmlformats.org/officeDocument/2006/relationships" r:embed="rId7"/>
        <a:stretch>
          <a:fillRect/>
        </a:stretch>
      </xdr:blipFill>
      <xdr:spPr>
        <a:xfrm>
          <a:off x="8869681" y="2904635"/>
          <a:ext cx="670559" cy="730106"/>
        </a:xfrm>
        <a:prstGeom prst="rect">
          <a:avLst/>
        </a:prstGeom>
      </xdr:spPr>
    </xdr:pic>
    <xdr:clientData/>
  </xdr:twoCellAnchor>
  <xdr:twoCellAnchor editAs="oneCell">
    <xdr:from>
      <xdr:col>10</xdr:col>
      <xdr:colOff>106681</xdr:colOff>
      <xdr:row>6</xdr:row>
      <xdr:rowOff>45928</xdr:rowOff>
    </xdr:from>
    <xdr:to>
      <xdr:col>11</xdr:col>
      <xdr:colOff>548640</xdr:colOff>
      <xdr:row>6</xdr:row>
      <xdr:rowOff>746760</xdr:rowOff>
    </xdr:to>
    <xdr:pic>
      <xdr:nvPicPr>
        <xdr:cNvPr id="11" name="Picture 10" descr="1601 McGee St, Kansas City, MO 64108 | LoopNet">
          <a:extLst>
            <a:ext uri="{FF2B5EF4-FFF2-40B4-BE49-F238E27FC236}">
              <a16:creationId xmlns:a16="http://schemas.microsoft.com/office/drawing/2014/main" id="{F5F4B565-8E7E-1219-B1BE-D3E7C0E3428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703821" y="2926288"/>
          <a:ext cx="1051559" cy="700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datacentermap.com/c/nebi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12"/>
  <sheetViews>
    <sheetView topLeftCell="C1" workbookViewId="0">
      <selection activeCell="B9" sqref="B9"/>
    </sheetView>
  </sheetViews>
  <sheetFormatPr defaultRowHeight="13.2" x14ac:dyDescent="0.25"/>
  <cols>
    <col min="1" max="16384" width="8.88671875" style="1"/>
  </cols>
  <sheetData>
    <row r="3" spans="2:14" x14ac:dyDescent="0.25">
      <c r="B3" s="8" t="s">
        <v>69</v>
      </c>
    </row>
    <row r="4" spans="2:14" x14ac:dyDescent="0.25">
      <c r="B4" s="1" t="s">
        <v>67</v>
      </c>
    </row>
    <row r="5" spans="2:14" x14ac:dyDescent="0.25">
      <c r="B5" s="1" t="s">
        <v>68</v>
      </c>
      <c r="L5" s="3" t="s">
        <v>7</v>
      </c>
      <c r="N5" s="3" t="s">
        <v>103</v>
      </c>
    </row>
    <row r="6" spans="2:14" x14ac:dyDescent="0.25">
      <c r="B6" s="1" t="s">
        <v>70</v>
      </c>
      <c r="G6" s="1" t="s">
        <v>1</v>
      </c>
      <c r="H6" s="1">
        <v>66.64</v>
      </c>
      <c r="L6" s="1" t="s">
        <v>101</v>
      </c>
      <c r="N6" s="1" t="s">
        <v>104</v>
      </c>
    </row>
    <row r="7" spans="2:14" x14ac:dyDescent="0.25">
      <c r="B7" s="1" t="s">
        <v>71</v>
      </c>
      <c r="G7" s="1" t="s">
        <v>2</v>
      </c>
      <c r="H7" s="1">
        <f>+Model!K17</f>
        <v>238.70509200000001</v>
      </c>
      <c r="L7" s="1" t="s">
        <v>99</v>
      </c>
    </row>
    <row r="8" spans="2:14" x14ac:dyDescent="0.25">
      <c r="B8" s="1" t="s">
        <v>72</v>
      </c>
      <c r="G8" s="1" t="s">
        <v>3</v>
      </c>
      <c r="H8" s="7">
        <f>+H6*H7</f>
        <v>15907.307330880001</v>
      </c>
    </row>
    <row r="9" spans="2:14" x14ac:dyDescent="0.25">
      <c r="B9" s="1" t="s">
        <v>73</v>
      </c>
      <c r="G9" s="1" t="s">
        <v>5</v>
      </c>
      <c r="H9" s="7">
        <f>+Model!K34</f>
        <v>1679.3</v>
      </c>
      <c r="L9" s="8" t="s">
        <v>74</v>
      </c>
    </row>
    <row r="10" spans="2:14" x14ac:dyDescent="0.25">
      <c r="G10" s="1" t="s">
        <v>4</v>
      </c>
      <c r="H10" s="7">
        <f>+Model!K49+Model!K54</f>
        <v>986.2</v>
      </c>
      <c r="L10" s="1" t="s">
        <v>96</v>
      </c>
    </row>
    <row r="11" spans="2:14" x14ac:dyDescent="0.25">
      <c r="B11" s="8" t="s">
        <v>76</v>
      </c>
      <c r="H11" s="7"/>
      <c r="L11" s="1" t="s">
        <v>97</v>
      </c>
    </row>
    <row r="12" spans="2:14" x14ac:dyDescent="0.25">
      <c r="B12" s="1" t="s">
        <v>102</v>
      </c>
      <c r="G12" s="1" t="s">
        <v>6</v>
      </c>
      <c r="H12" s="7">
        <f>H8-H9+H10</f>
        <v>15214.207330880003</v>
      </c>
      <c r="L12" s="1"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ACD5-9874-4FB6-B019-3F1742C4409A}">
  <dimension ref="A1:Y88"/>
  <sheetViews>
    <sheetView tabSelected="1" zoomScale="84" workbookViewId="0">
      <pane xSplit="2" ySplit="2" topLeftCell="C3" activePane="bottomRight" state="frozen"/>
      <selection pane="topRight" activeCell="C1" sqref="C1"/>
      <selection pane="bottomLeft" activeCell="A3" sqref="A3"/>
      <selection pane="bottomRight" activeCell="K23" sqref="K23"/>
    </sheetView>
  </sheetViews>
  <sheetFormatPr defaultRowHeight="13.2" x14ac:dyDescent="0.25"/>
  <cols>
    <col min="1" max="4" width="8.88671875" style="1"/>
    <col min="5" max="7" width="9.88671875" style="1" bestFit="1" customWidth="1"/>
    <col min="8" max="8" width="8.88671875" style="1"/>
    <col min="9" max="9" width="9.88671875" style="1" bestFit="1" customWidth="1"/>
    <col min="10" max="16384" width="8.88671875" style="1"/>
  </cols>
  <sheetData>
    <row r="1" spans="1:25" ht="15" thickBot="1" x14ac:dyDescent="0.35">
      <c r="A1" s="2" t="s">
        <v>0</v>
      </c>
      <c r="S1" s="29" t="s">
        <v>122</v>
      </c>
      <c r="T1" s="30"/>
      <c r="U1" s="30"/>
    </row>
    <row r="2" spans="1:25" x14ac:dyDescent="0.25">
      <c r="C2" s="1" t="s">
        <v>106</v>
      </c>
      <c r="D2" s="1" t="s">
        <v>105</v>
      </c>
      <c r="E2" s="1" t="s">
        <v>8</v>
      </c>
      <c r="F2" s="1" t="s">
        <v>9</v>
      </c>
      <c r="G2" s="1" t="s">
        <v>10</v>
      </c>
      <c r="H2" s="1" t="s">
        <v>11</v>
      </c>
      <c r="I2" s="1" t="s">
        <v>12</v>
      </c>
      <c r="J2" s="1" t="s">
        <v>13</v>
      </c>
      <c r="K2" s="1" t="s">
        <v>7</v>
      </c>
      <c r="L2" s="1" t="s">
        <v>112</v>
      </c>
      <c r="M2" s="1" t="s">
        <v>113</v>
      </c>
      <c r="N2" s="1" t="s">
        <v>114</v>
      </c>
      <c r="O2" s="1" t="s">
        <v>115</v>
      </c>
      <c r="P2" s="1" t="s">
        <v>116</v>
      </c>
      <c r="Q2" s="1" t="s">
        <v>117</v>
      </c>
      <c r="S2" s="1">
        <v>2020</v>
      </c>
      <c r="T2" s="1">
        <v>2021</v>
      </c>
      <c r="U2" s="1">
        <v>2022</v>
      </c>
      <c r="V2" s="1">
        <v>2023</v>
      </c>
      <c r="W2" s="1">
        <v>2024</v>
      </c>
      <c r="X2" s="1">
        <v>2025</v>
      </c>
      <c r="Y2" s="1">
        <v>2026</v>
      </c>
    </row>
    <row r="3" spans="1:25" s="4" customFormat="1" x14ac:dyDescent="0.25">
      <c r="B3" s="4" t="s">
        <v>14</v>
      </c>
      <c r="C3" s="4">
        <v>4.7</v>
      </c>
      <c r="D3" s="4">
        <v>5</v>
      </c>
      <c r="E3" s="4">
        <v>6.7</v>
      </c>
      <c r="F3" s="4">
        <v>11.4</v>
      </c>
      <c r="G3" s="4">
        <v>14.5</v>
      </c>
      <c r="H3" s="4">
        <v>43.3</v>
      </c>
      <c r="I3" s="4">
        <v>37.9</v>
      </c>
      <c r="J3" s="4">
        <v>55.3</v>
      </c>
      <c r="K3" s="4">
        <v>105.1</v>
      </c>
      <c r="L3" s="4">
        <v>157</v>
      </c>
      <c r="M3" s="4">
        <v>262</v>
      </c>
      <c r="N3" s="4">
        <v>307</v>
      </c>
      <c r="O3" s="4">
        <v>333</v>
      </c>
      <c r="P3" s="4">
        <v>380</v>
      </c>
      <c r="Q3" s="4">
        <v>438</v>
      </c>
      <c r="V3" s="4">
        <v>20.9</v>
      </c>
      <c r="W3" s="4">
        <v>117.5</v>
      </c>
      <c r="X3" s="4">
        <f>+M3+L3+K3+J3</f>
        <v>579.4</v>
      </c>
      <c r="Y3" s="4">
        <f>+N3+O3+P3+Q3</f>
        <v>1458</v>
      </c>
    </row>
    <row r="4" spans="1:25" s="4" customFormat="1" x14ac:dyDescent="0.25">
      <c r="B4" s="4" t="s">
        <v>15</v>
      </c>
      <c r="C4" s="4">
        <v>5.9</v>
      </c>
      <c r="D4" s="4">
        <v>7.5</v>
      </c>
      <c r="E4" s="4">
        <v>9.8000000000000007</v>
      </c>
      <c r="F4" s="4">
        <v>8.9</v>
      </c>
      <c r="G4" s="4">
        <v>7.7</v>
      </c>
      <c r="H4" s="4">
        <v>18.899999999999999</v>
      </c>
      <c r="I4" s="4">
        <v>27.5</v>
      </c>
      <c r="J4" s="4">
        <v>29.5</v>
      </c>
      <c r="K4" s="4">
        <v>30.1</v>
      </c>
      <c r="V4" s="4">
        <v>31.9</v>
      </c>
      <c r="W4" s="4">
        <v>73.400000000000006</v>
      </c>
    </row>
    <row r="5" spans="1:25" s="5" customFormat="1" x14ac:dyDescent="0.25">
      <c r="B5" s="5" t="s">
        <v>16</v>
      </c>
      <c r="C5" s="5">
        <f t="shared" ref="C5" si="0">C3-C4</f>
        <v>-1.2000000000000002</v>
      </c>
      <c r="D5" s="5">
        <f t="shared" ref="D5" si="1">D3-D4</f>
        <v>-2.5</v>
      </c>
      <c r="E5" s="5">
        <f t="shared" ref="E5:J5" si="2">E3-E4</f>
        <v>-3.1000000000000005</v>
      </c>
      <c r="F5" s="5">
        <f>F3-F4</f>
        <v>2.5</v>
      </c>
      <c r="G5" s="5">
        <f t="shared" si="2"/>
        <v>6.8</v>
      </c>
      <c r="H5" s="5">
        <f t="shared" si="2"/>
        <v>24.4</v>
      </c>
      <c r="I5" s="5">
        <f>I3-I4</f>
        <v>10.399999999999999</v>
      </c>
      <c r="J5" s="5">
        <f t="shared" si="2"/>
        <v>25.799999999999997</v>
      </c>
      <c r="K5" s="5">
        <f>K3-K4</f>
        <v>75</v>
      </c>
      <c r="L5" s="5">
        <f t="shared" ref="L5:M5" si="3">L3-L4</f>
        <v>157</v>
      </c>
      <c r="M5" s="5">
        <f t="shared" si="3"/>
        <v>262</v>
      </c>
      <c r="V5" s="5">
        <f t="shared" ref="V5:W5" si="4">V3-V4</f>
        <v>-11</v>
      </c>
      <c r="W5" s="5">
        <f t="shared" si="4"/>
        <v>44.099999999999994</v>
      </c>
    </row>
    <row r="6" spans="1:25" s="4" customFormat="1" x14ac:dyDescent="0.25">
      <c r="B6" s="4" t="s">
        <v>17</v>
      </c>
      <c r="C6" s="4">
        <v>28.7</v>
      </c>
      <c r="D6" s="4">
        <v>25.5</v>
      </c>
      <c r="E6" s="4">
        <v>27.4</v>
      </c>
      <c r="F6" s="4">
        <v>25.2</v>
      </c>
      <c r="G6" s="4">
        <v>32</v>
      </c>
      <c r="H6" s="4">
        <v>34.4</v>
      </c>
      <c r="I6" s="4">
        <v>35.4</v>
      </c>
      <c r="J6" s="4">
        <v>40</v>
      </c>
      <c r="K6" s="4">
        <v>42.8</v>
      </c>
      <c r="V6" s="4">
        <v>111.6</v>
      </c>
      <c r="W6" s="4">
        <v>129.69999999999999</v>
      </c>
    </row>
    <row r="7" spans="1:25" s="4" customFormat="1" x14ac:dyDescent="0.25">
      <c r="B7" s="4" t="s">
        <v>18</v>
      </c>
      <c r="C7" s="4">
        <v>42</v>
      </c>
      <c r="D7" s="4">
        <v>43.5</v>
      </c>
      <c r="E7" s="4">
        <v>54.7</v>
      </c>
      <c r="F7" s="4">
        <v>51.3</v>
      </c>
      <c r="G7" s="4">
        <v>75.599999999999994</v>
      </c>
      <c r="H7" s="4">
        <v>53.5</v>
      </c>
      <c r="I7" s="4">
        <v>90</v>
      </c>
      <c r="J7" s="4">
        <v>66.099999999999994</v>
      </c>
      <c r="K7" s="4">
        <v>68.2</v>
      </c>
      <c r="V7" s="4">
        <v>173.1</v>
      </c>
      <c r="W7" s="4">
        <v>277.8</v>
      </c>
    </row>
    <row r="8" spans="1:25" s="4" customFormat="1" x14ac:dyDescent="0.25">
      <c r="B8" s="4" t="s">
        <v>19</v>
      </c>
      <c r="C8" s="4">
        <v>6.5</v>
      </c>
      <c r="D8" s="4">
        <v>6.1</v>
      </c>
      <c r="E8" s="4">
        <v>8.3000000000000007</v>
      </c>
      <c r="F8" s="4">
        <v>8.9</v>
      </c>
      <c r="G8" s="4">
        <v>11.4</v>
      </c>
      <c r="H8" s="4">
        <v>23.5</v>
      </c>
      <c r="I8" s="4">
        <v>36.200000000000003</v>
      </c>
      <c r="J8" s="4">
        <v>49.2</v>
      </c>
      <c r="K8" s="4">
        <v>75.2</v>
      </c>
      <c r="V8" s="4">
        <v>27.8</v>
      </c>
      <c r="W8" s="4">
        <v>80.099999999999994</v>
      </c>
    </row>
    <row r="9" spans="1:25" s="5" customFormat="1" x14ac:dyDescent="0.25">
      <c r="B9" s="5" t="s">
        <v>20</v>
      </c>
      <c r="C9" s="5">
        <f t="shared" ref="C9" si="5">SUM(C6:C8)</f>
        <v>77.2</v>
      </c>
      <c r="D9" s="5">
        <f t="shared" ref="D9" si="6">SUM(D6:D8)</f>
        <v>75.099999999999994</v>
      </c>
      <c r="E9" s="5">
        <f t="shared" ref="E9:J9" si="7">SUM(E6:E8)</f>
        <v>90.399999999999991</v>
      </c>
      <c r="F9" s="5">
        <f t="shared" si="7"/>
        <v>85.4</v>
      </c>
      <c r="G9" s="5">
        <f t="shared" si="7"/>
        <v>119</v>
      </c>
      <c r="H9" s="5">
        <f t="shared" si="7"/>
        <v>111.4</v>
      </c>
      <c r="I9" s="5">
        <f t="shared" si="7"/>
        <v>161.60000000000002</v>
      </c>
      <c r="J9" s="5">
        <f t="shared" si="7"/>
        <v>155.30000000000001</v>
      </c>
      <c r="K9" s="5">
        <f>SUM(K6:K8)</f>
        <v>186.2</v>
      </c>
      <c r="L9" s="5">
        <f t="shared" ref="L9:M9" si="8">SUM(L6:L8)</f>
        <v>0</v>
      </c>
      <c r="M9" s="5">
        <f t="shared" si="8"/>
        <v>0</v>
      </c>
      <c r="V9" s="5">
        <f t="shared" ref="V9:W9" si="9">SUM(V6:V8)</f>
        <v>312.5</v>
      </c>
      <c r="W9" s="5">
        <f t="shared" si="9"/>
        <v>487.6</v>
      </c>
    </row>
    <row r="10" spans="1:25" s="5" customFormat="1" x14ac:dyDescent="0.25">
      <c r="B10" s="5" t="s">
        <v>21</v>
      </c>
      <c r="C10" s="5">
        <f t="shared" ref="C10" si="10">C5-C9</f>
        <v>-78.400000000000006</v>
      </c>
      <c r="D10" s="5">
        <f t="shared" ref="D10" si="11">D5-D9</f>
        <v>-77.599999999999994</v>
      </c>
      <c r="E10" s="5">
        <f t="shared" ref="E10:J10" si="12">E5-E9</f>
        <v>-93.499999999999986</v>
      </c>
      <c r="F10" s="5">
        <f t="shared" si="12"/>
        <v>-82.9</v>
      </c>
      <c r="G10" s="5">
        <f t="shared" si="12"/>
        <v>-112.2</v>
      </c>
      <c r="H10" s="5">
        <f t="shared" si="12"/>
        <v>-87</v>
      </c>
      <c r="I10" s="5">
        <f t="shared" ref="I10" si="13">I5-I9</f>
        <v>-151.20000000000002</v>
      </c>
      <c r="J10" s="5">
        <f t="shared" si="12"/>
        <v>-129.5</v>
      </c>
      <c r="K10" s="5">
        <f>K5-K9</f>
        <v>-111.19999999999999</v>
      </c>
      <c r="L10" s="5">
        <f t="shared" ref="L10:M10" si="14">L5-L9</f>
        <v>157</v>
      </c>
      <c r="M10" s="5">
        <f t="shared" si="14"/>
        <v>262</v>
      </c>
      <c r="V10" s="5">
        <f t="shared" ref="V10:W10" si="15">V5-V9</f>
        <v>-323.5</v>
      </c>
      <c r="W10" s="5">
        <f t="shared" si="15"/>
        <v>-443.5</v>
      </c>
    </row>
    <row r="11" spans="1:25" s="4" customFormat="1" x14ac:dyDescent="0.25">
      <c r="B11" s="4" t="s">
        <v>22</v>
      </c>
      <c r="C11" s="4">
        <v>1</v>
      </c>
      <c r="D11" s="4">
        <v>0.5</v>
      </c>
      <c r="E11" s="4">
        <v>0.6</v>
      </c>
      <c r="F11" s="4">
        <v>0.4</v>
      </c>
      <c r="G11" s="4">
        <v>12.7</v>
      </c>
      <c r="H11" s="4">
        <v>28.6</v>
      </c>
      <c r="I11" s="4">
        <v>21.9</v>
      </c>
      <c r="J11" s="4">
        <v>8.6</v>
      </c>
      <c r="K11" s="4">
        <v>3.6</v>
      </c>
      <c r="V11" s="4">
        <v>3.3</v>
      </c>
      <c r="W11" s="4">
        <v>63.6</v>
      </c>
    </row>
    <row r="12" spans="1:25" s="4" customFormat="1" x14ac:dyDescent="0.25">
      <c r="B12" s="4" t="s">
        <v>23</v>
      </c>
      <c r="C12" s="4">
        <v>-1.4</v>
      </c>
      <c r="D12" s="4">
        <v>-9.8000000000000007</v>
      </c>
      <c r="E12" s="4">
        <v>1.1000000000000001</v>
      </c>
      <c r="F12" s="4">
        <v>0</v>
      </c>
      <c r="G12" s="4">
        <v>0</v>
      </c>
      <c r="H12" s="4">
        <v>0.4</v>
      </c>
      <c r="I12" s="4">
        <v>0</v>
      </c>
      <c r="J12" s="4">
        <v>0.1</v>
      </c>
      <c r="K12" s="4">
        <v>-4.8</v>
      </c>
      <c r="V12" s="4">
        <v>-10.9</v>
      </c>
      <c r="W12" s="4">
        <v>0.4</v>
      </c>
    </row>
    <row r="13" spans="1:25" s="4" customFormat="1" x14ac:dyDescent="0.25">
      <c r="B13" s="4" t="s">
        <v>24</v>
      </c>
      <c r="C13" s="4">
        <v>6.4</v>
      </c>
      <c r="D13" s="4">
        <v>-7.7</v>
      </c>
      <c r="E13" s="4">
        <v>1</v>
      </c>
      <c r="F13" s="4">
        <v>-237</v>
      </c>
      <c r="G13" s="4">
        <v>-14.8</v>
      </c>
      <c r="H13" s="4">
        <v>6.8</v>
      </c>
      <c r="I13" s="4">
        <v>-8.4</v>
      </c>
      <c r="J13" s="4">
        <v>8.1</v>
      </c>
      <c r="K13" s="4">
        <f>597.4-6.3+24.6</f>
        <v>615.70000000000005</v>
      </c>
      <c r="V13" s="4">
        <v>-4.4000000000000004</v>
      </c>
      <c r="W13" s="4">
        <v>-17.3</v>
      </c>
    </row>
    <row r="14" spans="1:25" s="5" customFormat="1" x14ac:dyDescent="0.25">
      <c r="B14" s="5" t="s">
        <v>25</v>
      </c>
      <c r="C14" s="5">
        <f t="shared" ref="C14" si="16">C10+C11+C12+C13</f>
        <v>-72.400000000000006</v>
      </c>
      <c r="D14" s="5">
        <f t="shared" ref="D14" si="17">D10+D11+D12+D13</f>
        <v>-94.6</v>
      </c>
      <c r="E14" s="5">
        <f t="shared" ref="E14:J14" si="18">E10+E11+E12+E13</f>
        <v>-90.8</v>
      </c>
      <c r="F14" s="5">
        <f t="shared" si="18"/>
        <v>-319.5</v>
      </c>
      <c r="G14" s="5">
        <f t="shared" si="18"/>
        <v>-114.3</v>
      </c>
      <c r="H14" s="5">
        <f t="shared" si="18"/>
        <v>-51.2</v>
      </c>
      <c r="I14" s="5">
        <f t="shared" ref="I14" si="19">I10+I11+I12+I13</f>
        <v>-137.70000000000002</v>
      </c>
      <c r="J14" s="5">
        <f t="shared" si="18"/>
        <v>-112.70000000000002</v>
      </c>
      <c r="K14" s="5">
        <f>K10+K11+K12+K13</f>
        <v>503.30000000000007</v>
      </c>
      <c r="L14" s="5">
        <f t="shared" ref="L14:M14" si="20">L10+L11+L12+L13</f>
        <v>157</v>
      </c>
      <c r="M14" s="5">
        <f t="shared" si="20"/>
        <v>262</v>
      </c>
      <c r="V14" s="5">
        <f t="shared" ref="V14:W14" si="21">V10+V11+V12+V13</f>
        <v>-335.49999999999994</v>
      </c>
      <c r="W14" s="5">
        <f t="shared" si="21"/>
        <v>-396.8</v>
      </c>
    </row>
    <row r="15" spans="1:25" s="4" customFormat="1" x14ac:dyDescent="0.25">
      <c r="B15" s="4" t="s">
        <v>26</v>
      </c>
      <c r="C15" s="4">
        <v>1.9</v>
      </c>
      <c r="D15" s="4">
        <v>2.2000000000000002</v>
      </c>
      <c r="E15" s="4">
        <v>-2.5</v>
      </c>
      <c r="F15" s="4">
        <v>-3</v>
      </c>
      <c r="G15" s="4">
        <v>2.6</v>
      </c>
      <c r="H15" s="4">
        <v>0.6</v>
      </c>
      <c r="I15" s="4">
        <v>-1.1000000000000001</v>
      </c>
      <c r="J15" s="4">
        <v>0.9</v>
      </c>
      <c r="K15" s="4">
        <v>0.8</v>
      </c>
      <c r="V15" s="4">
        <v>1.1000000000000001</v>
      </c>
      <c r="W15" s="4">
        <v>-0.1</v>
      </c>
    </row>
    <row r="16" spans="1:25" s="5" customFormat="1" x14ac:dyDescent="0.25">
      <c r="B16" s="5" t="s">
        <v>27</v>
      </c>
      <c r="C16" s="5">
        <f t="shared" ref="C16" si="22">+C14-C15</f>
        <v>-74.300000000000011</v>
      </c>
      <c r="D16" s="5">
        <f t="shared" ref="D16" si="23">+D14-D15</f>
        <v>-96.8</v>
      </c>
      <c r="E16" s="5">
        <f t="shared" ref="E16:J16" si="24">+E14-E15</f>
        <v>-88.3</v>
      </c>
      <c r="F16" s="5">
        <f t="shared" si="24"/>
        <v>-316.5</v>
      </c>
      <c r="G16" s="5">
        <f t="shared" si="24"/>
        <v>-116.89999999999999</v>
      </c>
      <c r="H16" s="5">
        <f t="shared" si="24"/>
        <v>-51.800000000000004</v>
      </c>
      <c r="I16" s="5">
        <f t="shared" ref="I16" si="25">+I14-I15</f>
        <v>-136.60000000000002</v>
      </c>
      <c r="J16" s="5">
        <f t="shared" si="24"/>
        <v>-113.60000000000002</v>
      </c>
      <c r="K16" s="5">
        <f>+K14-K15</f>
        <v>502.50000000000006</v>
      </c>
      <c r="L16" s="5">
        <f t="shared" ref="L16:M16" si="26">+L14-L15</f>
        <v>157</v>
      </c>
      <c r="M16" s="5">
        <f t="shared" si="26"/>
        <v>262</v>
      </c>
      <c r="V16" s="5">
        <f t="shared" ref="V16:W16" si="27">+V14-V15</f>
        <v>-336.59999999999997</v>
      </c>
      <c r="W16" s="5">
        <f t="shared" si="27"/>
        <v>-396.7</v>
      </c>
    </row>
    <row r="17" spans="2:25" s="4" customFormat="1" x14ac:dyDescent="0.25">
      <c r="B17" s="4" t="s">
        <v>2</v>
      </c>
      <c r="F17" s="4">
        <v>361.482282</v>
      </c>
      <c r="G17" s="4">
        <v>293.85015900000002</v>
      </c>
      <c r="H17" s="4">
        <v>199.34011799999999</v>
      </c>
      <c r="I17" s="4">
        <v>235.75360000000001</v>
      </c>
      <c r="J17" s="4">
        <v>238.10883100000001</v>
      </c>
      <c r="K17" s="4">
        <v>238.70509200000001</v>
      </c>
      <c r="W17" s="4">
        <v>235.75360000000001</v>
      </c>
    </row>
    <row r="18" spans="2:25" s="5" customFormat="1" x14ac:dyDescent="0.25">
      <c r="B18" s="5" t="s">
        <v>28</v>
      </c>
      <c r="C18" s="5" t="e">
        <f t="shared" ref="C18" si="28">C16/C17</f>
        <v>#DIV/0!</v>
      </c>
      <c r="D18" s="5" t="e">
        <f t="shared" ref="D18" si="29">D16/D17</f>
        <v>#DIV/0!</v>
      </c>
      <c r="E18" s="5" t="e">
        <f t="shared" ref="E18:J18" si="30">E16/E17</f>
        <v>#DIV/0!</v>
      </c>
      <c r="F18" s="5">
        <f t="shared" si="30"/>
        <v>-0.87556158561597219</v>
      </c>
      <c r="G18" s="5">
        <f t="shared" si="30"/>
        <v>-0.3978218027780614</v>
      </c>
      <c r="H18" s="5">
        <f t="shared" si="30"/>
        <v>-0.25985737602503078</v>
      </c>
      <c r="I18" s="5">
        <f t="shared" si="30"/>
        <v>-0.57941851153068291</v>
      </c>
      <c r="J18" s="5">
        <f t="shared" si="30"/>
        <v>-0.47709276267876022</v>
      </c>
      <c r="K18" s="5">
        <f>K16/K17</f>
        <v>2.1051080049854991</v>
      </c>
      <c r="L18" s="5" t="e">
        <f t="shared" ref="L18:M18" si="31">L16/L17</f>
        <v>#DIV/0!</v>
      </c>
      <c r="M18" s="5" t="e">
        <f t="shared" si="31"/>
        <v>#DIV/0!</v>
      </c>
      <c r="V18" s="5" t="e">
        <f t="shared" ref="V18:W18" si="32">V16/V17</f>
        <v>#DIV/0!</v>
      </c>
      <c r="W18" s="5">
        <f t="shared" si="32"/>
        <v>-1.6826890448332494</v>
      </c>
    </row>
    <row r="19" spans="2:25" s="5" customFormat="1" x14ac:dyDescent="0.25"/>
    <row r="20" spans="2:25" s="4" customFormat="1" x14ac:dyDescent="0.25">
      <c r="B20" s="4" t="s">
        <v>61</v>
      </c>
      <c r="C20" s="4">
        <v>68.599999999999994</v>
      </c>
      <c r="D20" s="4">
        <v>-67.599999999999994</v>
      </c>
      <c r="E20" s="4">
        <v>-81.3</v>
      </c>
      <c r="F20" s="4">
        <v>-70.900000000000006</v>
      </c>
      <c r="G20" s="4">
        <v>-58.1</v>
      </c>
      <c r="H20" s="4">
        <v>-51.9</v>
      </c>
      <c r="I20" s="4">
        <v>-75.5</v>
      </c>
      <c r="J20" s="4">
        <v>-62.6</v>
      </c>
      <c r="K20" s="4">
        <v>-21</v>
      </c>
      <c r="V20" s="4">
        <v>-282.8</v>
      </c>
      <c r="W20" s="4">
        <v>-266.39999999999998</v>
      </c>
    </row>
    <row r="23" spans="2:25" s="6" customFormat="1" x14ac:dyDescent="0.25">
      <c r="B23" s="6" t="s">
        <v>29</v>
      </c>
      <c r="C23" s="6">
        <f t="shared" ref="C23:D23" si="33">C5/C3</f>
        <v>-0.25531914893617025</v>
      </c>
      <c r="D23" s="6">
        <f t="shared" si="33"/>
        <v>-0.5</v>
      </c>
      <c r="E23" s="6">
        <f t="shared" ref="E23:J23" si="34">E5/E3</f>
        <v>-0.46268656716417916</v>
      </c>
      <c r="F23" s="6">
        <f t="shared" si="34"/>
        <v>0.21929824561403508</v>
      </c>
      <c r="G23" s="6">
        <f t="shared" si="34"/>
        <v>0.4689655172413793</v>
      </c>
      <c r="H23" s="6">
        <f t="shared" si="34"/>
        <v>0.56351039260969982</v>
      </c>
      <c r="I23" s="6">
        <f t="shared" si="34"/>
        <v>0.27440633245382584</v>
      </c>
      <c r="J23" s="6">
        <f t="shared" si="34"/>
        <v>0.46654611211573233</v>
      </c>
      <c r="K23" s="6">
        <f>K5/K3</f>
        <v>0.71360608943862991</v>
      </c>
      <c r="L23" s="6">
        <f t="shared" ref="L23" si="35">L5/L3</f>
        <v>1</v>
      </c>
    </row>
    <row r="24" spans="2:25" s="6" customFormat="1" x14ac:dyDescent="0.25">
      <c r="B24" s="6" t="s">
        <v>30</v>
      </c>
      <c r="C24" s="6">
        <f t="shared" ref="C24:D24" si="36">C9/C3</f>
        <v>16.425531914893618</v>
      </c>
      <c r="D24" s="6">
        <f t="shared" si="36"/>
        <v>15.02</v>
      </c>
      <c r="E24" s="6">
        <f t="shared" ref="E24:J24" si="37">E9/E3</f>
        <v>13.492537313432834</v>
      </c>
      <c r="F24" s="6">
        <f t="shared" si="37"/>
        <v>7.4912280701754392</v>
      </c>
      <c r="G24" s="6">
        <f t="shared" si="37"/>
        <v>8.2068965517241388</v>
      </c>
      <c r="H24" s="6">
        <f t="shared" si="37"/>
        <v>2.5727482678983837</v>
      </c>
      <c r="I24" s="6">
        <f t="shared" si="37"/>
        <v>4.2638522427440639</v>
      </c>
      <c r="J24" s="6">
        <f t="shared" si="37"/>
        <v>2.808318264014467</v>
      </c>
      <c r="K24" s="6">
        <f>K9/K3</f>
        <v>1.7716460513796384</v>
      </c>
      <c r="L24" s="6">
        <f t="shared" ref="L24" si="38">L9/L3</f>
        <v>0</v>
      </c>
    </row>
    <row r="25" spans="2:25" s="6" customFormat="1" x14ac:dyDescent="0.25">
      <c r="B25" s="6" t="s">
        <v>31</v>
      </c>
      <c r="C25" s="6">
        <f t="shared" ref="C25:D25" si="39">(C11+C12+C13)/C10</f>
        <v>-7.6530612244897947E-2</v>
      </c>
      <c r="D25" s="6">
        <f t="shared" si="39"/>
        <v>0.21907216494845363</v>
      </c>
      <c r="E25" s="6">
        <f t="shared" ref="E25:J25" si="40">(E11+E12+E13)/E10</f>
        <v>-2.887700534759359E-2</v>
      </c>
      <c r="F25" s="6">
        <f t="shared" si="40"/>
        <v>2.8540410132689984</v>
      </c>
      <c r="G25" s="6">
        <f t="shared" si="40"/>
        <v>1.8716577540106964E-2</v>
      </c>
      <c r="H25" s="6">
        <f t="shared" si="40"/>
        <v>-0.41149425287356317</v>
      </c>
      <c r="I25" s="6">
        <f t="shared" si="40"/>
        <v>-8.928571428571426E-2</v>
      </c>
      <c r="J25" s="6">
        <f t="shared" si="40"/>
        <v>-0.12972972972972971</v>
      </c>
      <c r="K25" s="6">
        <f>(K11+K12+K13)/K10</f>
        <v>-5.5260791366906483</v>
      </c>
      <c r="L25" s="6">
        <f t="shared" ref="L25" si="41">(L11+L12+L13)/L10</f>
        <v>0</v>
      </c>
    </row>
    <row r="26" spans="2:25" s="6" customFormat="1" x14ac:dyDescent="0.25">
      <c r="B26" s="6" t="s">
        <v>32</v>
      </c>
      <c r="C26" s="6">
        <f t="shared" ref="C26:D26" si="42">C15/C14</f>
        <v>-2.6243093922651929E-2</v>
      </c>
      <c r="D26" s="6">
        <f t="shared" si="42"/>
        <v>-2.3255813953488375E-2</v>
      </c>
      <c r="E26" s="6">
        <f t="shared" ref="E26:J26" si="43">E15/E14</f>
        <v>2.7533039647577095E-2</v>
      </c>
      <c r="F26" s="6">
        <f t="shared" si="43"/>
        <v>9.3896713615023476E-3</v>
      </c>
      <c r="G26" s="6">
        <f t="shared" si="43"/>
        <v>-2.2747156605424323E-2</v>
      </c>
      <c r="H26" s="6">
        <f t="shared" si="43"/>
        <v>-1.1718749999999998E-2</v>
      </c>
      <c r="I26" s="6">
        <f t="shared" si="43"/>
        <v>7.988380537400145E-3</v>
      </c>
      <c r="J26" s="6">
        <f t="shared" si="43"/>
        <v>-7.9858030168589167E-3</v>
      </c>
      <c r="K26" s="6">
        <f>K15/K14</f>
        <v>1.5895092390224516E-3</v>
      </c>
      <c r="L26" s="6">
        <f t="shared" ref="L26" si="44">L15/L14</f>
        <v>0</v>
      </c>
    </row>
    <row r="27" spans="2:25" s="6" customFormat="1" x14ac:dyDescent="0.25">
      <c r="B27" s="6" t="s">
        <v>33</v>
      </c>
      <c r="C27" s="6">
        <f t="shared" ref="C27:D27" si="45">C16/C3</f>
        <v>-15.808510638297873</v>
      </c>
      <c r="D27" s="6">
        <f t="shared" si="45"/>
        <v>-19.36</v>
      </c>
      <c r="E27" s="6">
        <f t="shared" ref="E27:J27" si="46">E16/E3</f>
        <v>-13.17910447761194</v>
      </c>
      <c r="F27" s="6">
        <f t="shared" si="46"/>
        <v>-27.763157894736842</v>
      </c>
      <c r="G27" s="6">
        <f t="shared" si="46"/>
        <v>-8.0620689655172413</v>
      </c>
      <c r="H27" s="6">
        <f t="shared" si="46"/>
        <v>-1.1963048498845268</v>
      </c>
      <c r="I27" s="6">
        <f t="shared" si="46"/>
        <v>-3.6042216358839059</v>
      </c>
      <c r="J27" s="6">
        <f t="shared" si="46"/>
        <v>-2.0542495479204343</v>
      </c>
      <c r="K27" s="6">
        <f>K16/K3</f>
        <v>4.7811607992388208</v>
      </c>
      <c r="L27" s="6">
        <f t="shared" ref="L27" si="47">L16/L3</f>
        <v>1</v>
      </c>
    </row>
    <row r="28" spans="2:25" s="6" customFormat="1" x14ac:dyDescent="0.25"/>
    <row r="29" spans="2:25" s="6" customFormat="1" x14ac:dyDescent="0.25">
      <c r="B29" s="6" t="s">
        <v>34</v>
      </c>
      <c r="G29" s="6">
        <f t="shared" ref="G29:H29" si="48">G3/C3-1</f>
        <v>2.0851063829787231</v>
      </c>
      <c r="H29" s="6">
        <f t="shared" si="48"/>
        <v>7.66</v>
      </c>
      <c r="I29" s="6">
        <f>I3/E3-1</f>
        <v>4.656716417910447</v>
      </c>
      <c r="J29" s="6">
        <f>J3/F3-1</f>
        <v>3.8508771929824555</v>
      </c>
      <c r="K29" s="6">
        <f>K3/G3-1</f>
        <v>6.2482758620689651</v>
      </c>
      <c r="L29" s="6">
        <f t="shared" ref="L29" si="49">L3/H3-1</f>
        <v>2.6258660508083143</v>
      </c>
      <c r="M29" s="6">
        <f t="shared" ref="M29" si="50">M3/I3-1</f>
        <v>5.9129287598944593</v>
      </c>
      <c r="N29" s="6">
        <f t="shared" ref="N29" si="51">N3/J3-1</f>
        <v>4.5515370705244127</v>
      </c>
      <c r="O29" s="6">
        <f t="shared" ref="O29" si="52">O3/K3-1</f>
        <v>2.1684110371075169</v>
      </c>
      <c r="P29" s="6">
        <f t="shared" ref="P29:Q29" si="53">P3/L3-1</f>
        <v>1.4203821656050954</v>
      </c>
      <c r="Q29" s="6">
        <f t="shared" si="53"/>
        <v>0.6717557251908397</v>
      </c>
      <c r="W29" s="6">
        <f>W3/V3-1</f>
        <v>4.6220095693779912</v>
      </c>
      <c r="X29" s="6">
        <f>X3/W3-1</f>
        <v>3.9310638297872336</v>
      </c>
      <c r="Y29" s="6">
        <f t="shared" ref="Y29" si="54">Y3/X3-1</f>
        <v>1.5163962720055228</v>
      </c>
    </row>
    <row r="33" spans="2:21" s="4" customFormat="1" x14ac:dyDescent="0.25">
      <c r="B33" s="4" t="s">
        <v>35</v>
      </c>
      <c r="E33" s="4">
        <f t="shared" ref="E33:J33" si="55">+E34-E49-E54</f>
        <v>109.1</v>
      </c>
      <c r="F33" s="4">
        <f t="shared" si="55"/>
        <v>146.30000000000001</v>
      </c>
      <c r="G33" s="4">
        <f t="shared" si="55"/>
        <v>3888.1</v>
      </c>
      <c r="H33" s="4">
        <f t="shared" si="55"/>
        <v>2279.4</v>
      </c>
      <c r="I33" s="4">
        <f t="shared" si="55"/>
        <v>2428.6</v>
      </c>
      <c r="J33" s="4">
        <f t="shared" si="55"/>
        <v>1440.8</v>
      </c>
      <c r="K33" s="4">
        <f>+K34-K49-K54</f>
        <v>693.09999999999991</v>
      </c>
      <c r="L33" s="4">
        <f>+L34-L49-L54</f>
        <v>0</v>
      </c>
      <c r="S33" s="4">
        <f t="shared" ref="S33:U33" si="56">+S34-S49-S54</f>
        <v>2092.4</v>
      </c>
      <c r="T33" s="4">
        <f t="shared" si="56"/>
        <v>240.29999999999995</v>
      </c>
      <c r="U33" s="4">
        <f t="shared" si="56"/>
        <v>435.49999999999989</v>
      </c>
    </row>
    <row r="34" spans="2:21" s="4" customFormat="1" x14ac:dyDescent="0.25">
      <c r="B34" s="4" t="s">
        <v>36</v>
      </c>
      <c r="E34" s="4">
        <v>116.1</v>
      </c>
      <c r="F34" s="4">
        <v>152.80000000000001</v>
      </c>
      <c r="G34" s="4">
        <f>2325.5+1569.2</f>
        <v>3894.7</v>
      </c>
      <c r="H34" s="4">
        <v>2288.1999999999998</v>
      </c>
      <c r="I34" s="4">
        <v>2434.6999999999998</v>
      </c>
      <c r="J34" s="4">
        <v>1447</v>
      </c>
      <c r="K34" s="4">
        <v>1679.3</v>
      </c>
      <c r="S34" s="4">
        <f>1788.4+1428.9</f>
        <v>3217.3</v>
      </c>
      <c r="T34" s="4">
        <f>1060.3+367.3</f>
        <v>1427.6</v>
      </c>
      <c r="U34" s="4">
        <f>1128.2+2.1</f>
        <v>1130.3</v>
      </c>
    </row>
    <row r="35" spans="2:21" s="4" customFormat="1" x14ac:dyDescent="0.25">
      <c r="B35" s="4" t="s">
        <v>37</v>
      </c>
      <c r="E35" s="4">
        <v>4.0999999999999996</v>
      </c>
      <c r="F35" s="4">
        <v>3.5</v>
      </c>
      <c r="G35" s="4">
        <v>12.4</v>
      </c>
      <c r="H35" s="4">
        <f>19+27.5</f>
        <v>46.5</v>
      </c>
      <c r="I35" s="4">
        <v>11.2</v>
      </c>
      <c r="J35" s="4">
        <v>24.3</v>
      </c>
      <c r="K35" s="4">
        <v>54.7</v>
      </c>
      <c r="S35" s="4">
        <v>343.6</v>
      </c>
      <c r="T35" s="4">
        <v>582.70000000000005</v>
      </c>
      <c r="U35" s="4">
        <v>787.4</v>
      </c>
    </row>
    <row r="36" spans="2:21" s="4" customFormat="1" x14ac:dyDescent="0.25">
      <c r="B36" s="4" t="s">
        <v>38</v>
      </c>
      <c r="E36" s="4">
        <v>18.8</v>
      </c>
      <c r="F36" s="4">
        <v>21</v>
      </c>
      <c r="G36" s="4">
        <v>33.1</v>
      </c>
      <c r="H36" s="4">
        <v>22.1</v>
      </c>
      <c r="I36" s="4">
        <v>22.2</v>
      </c>
      <c r="J36" s="4">
        <v>22.4</v>
      </c>
      <c r="K36" s="4">
        <v>28.3</v>
      </c>
      <c r="S36" s="28"/>
      <c r="T36" s="28"/>
      <c r="U36" s="28"/>
    </row>
    <row r="37" spans="2:21" s="4" customFormat="1" x14ac:dyDescent="0.25">
      <c r="B37" s="4" t="s">
        <v>39</v>
      </c>
      <c r="E37" s="4">
        <v>0</v>
      </c>
      <c r="F37" s="4">
        <v>0</v>
      </c>
      <c r="G37" s="4">
        <v>0</v>
      </c>
      <c r="H37" s="4">
        <v>0</v>
      </c>
      <c r="I37" s="4">
        <v>0.6</v>
      </c>
      <c r="J37" s="4">
        <v>80.599999999999994</v>
      </c>
      <c r="K37" s="4">
        <v>74.5</v>
      </c>
      <c r="S37" s="28"/>
      <c r="T37" s="28"/>
      <c r="U37" s="28"/>
    </row>
    <row r="38" spans="2:21" s="4" customFormat="1" x14ac:dyDescent="0.25">
      <c r="B38" s="4" t="s">
        <v>40</v>
      </c>
      <c r="E38" s="4">
        <v>5.4</v>
      </c>
      <c r="F38" s="4">
        <v>12.8</v>
      </c>
      <c r="G38" s="4">
        <v>5.9</v>
      </c>
      <c r="H38" s="4">
        <v>5.7</v>
      </c>
      <c r="I38" s="4">
        <v>6.2</v>
      </c>
      <c r="J38" s="4">
        <v>84.4</v>
      </c>
      <c r="K38" s="4">
        <v>158.30000000000001</v>
      </c>
      <c r="S38" s="28"/>
      <c r="T38" s="28"/>
      <c r="U38" s="28"/>
    </row>
    <row r="39" spans="2:21" s="4" customFormat="1" x14ac:dyDescent="0.25">
      <c r="B39" s="4" t="s">
        <v>41</v>
      </c>
      <c r="E39" s="4">
        <f>5.1+16.9+3289.5</f>
        <v>3311.5</v>
      </c>
      <c r="F39" s="4">
        <f>5.1+18.4+3005.9</f>
        <v>3029.4</v>
      </c>
      <c r="G39" s="4">
        <v>19.7</v>
      </c>
      <c r="H39" s="4">
        <v>19.399999999999999</v>
      </c>
      <c r="I39" s="4">
        <f>37+21.4</f>
        <v>58.4</v>
      </c>
      <c r="J39" s="4">
        <v>24.6</v>
      </c>
      <c r="K39" s="4">
        <v>34.5</v>
      </c>
      <c r="S39" s="4">
        <f>103.5+65+193.2</f>
        <v>361.7</v>
      </c>
      <c r="T39" s="4">
        <f>182.6+128.2+353.5</f>
        <v>664.3</v>
      </c>
      <c r="U39" s="4">
        <f>340.7+383+614.9</f>
        <v>1338.6</v>
      </c>
    </row>
    <row r="40" spans="2:21" s="4" customFormat="1" x14ac:dyDescent="0.25">
      <c r="B40" s="4" t="s">
        <v>42</v>
      </c>
      <c r="E40" s="4">
        <v>132.4</v>
      </c>
      <c r="F40" s="4">
        <v>183</v>
      </c>
      <c r="G40" s="4">
        <v>328.3</v>
      </c>
      <c r="H40" s="4">
        <v>475.3</v>
      </c>
      <c r="I40" s="4">
        <v>846.7</v>
      </c>
      <c r="J40" s="4">
        <v>1334.1</v>
      </c>
      <c r="K40" s="4">
        <v>1789.4</v>
      </c>
      <c r="S40" s="4">
        <v>834.4</v>
      </c>
      <c r="T40" s="4">
        <v>1315.1</v>
      </c>
      <c r="U40" s="4">
        <v>0</v>
      </c>
    </row>
    <row r="41" spans="2:21" s="4" customFormat="1" x14ac:dyDescent="0.25">
      <c r="B41" s="4" t="s">
        <v>43</v>
      </c>
      <c r="E41" s="4">
        <v>4.5999999999999996</v>
      </c>
      <c r="F41" s="4">
        <v>4.2</v>
      </c>
      <c r="G41" s="4">
        <v>4.7</v>
      </c>
      <c r="H41" s="4">
        <v>8.6999999999999993</v>
      </c>
      <c r="I41" s="4">
        <v>4.9000000000000004</v>
      </c>
      <c r="J41" s="4">
        <v>17.399999999999999</v>
      </c>
      <c r="K41" s="4">
        <v>15.6</v>
      </c>
      <c r="S41" s="28"/>
      <c r="T41" s="28"/>
      <c r="U41" s="28"/>
    </row>
    <row r="42" spans="2:21" s="4" customFormat="1" x14ac:dyDescent="0.25">
      <c r="B42" s="4" t="s">
        <v>44</v>
      </c>
      <c r="E42" s="4">
        <v>18.7</v>
      </c>
      <c r="F42" s="4">
        <v>11.7</v>
      </c>
      <c r="G42" s="4">
        <v>9.9</v>
      </c>
      <c r="H42" s="4">
        <v>31.7</v>
      </c>
      <c r="I42" s="4">
        <v>44.8</v>
      </c>
      <c r="J42" s="4">
        <v>250.3</v>
      </c>
      <c r="K42" s="4">
        <v>277.3</v>
      </c>
      <c r="S42" s="28"/>
      <c r="T42" s="28"/>
      <c r="U42" s="28"/>
    </row>
    <row r="43" spans="2:21" s="4" customFormat="1" x14ac:dyDescent="0.25">
      <c r="B43" s="4" t="s">
        <v>45</v>
      </c>
      <c r="E43" s="4">
        <v>6.4</v>
      </c>
      <c r="F43" s="4">
        <v>6.4</v>
      </c>
      <c r="G43" s="4">
        <v>6.4</v>
      </c>
      <c r="H43" s="4">
        <v>6.4</v>
      </c>
      <c r="I43" s="4">
        <v>6.4</v>
      </c>
      <c r="J43" s="4">
        <v>6.4</v>
      </c>
      <c r="K43" s="4">
        <v>32.299999999999997</v>
      </c>
      <c r="S43" s="28"/>
      <c r="T43" s="28"/>
      <c r="U43" s="28"/>
    </row>
    <row r="44" spans="2:21" s="4" customFormat="1" x14ac:dyDescent="0.25">
      <c r="B44" s="4" t="s">
        <v>46</v>
      </c>
      <c r="E44" s="4">
        <v>90.7</v>
      </c>
      <c r="F44" s="4">
        <v>92.2</v>
      </c>
      <c r="G44" s="4">
        <v>90.7</v>
      </c>
      <c r="H44" s="4">
        <v>90.7</v>
      </c>
      <c r="I44" s="4">
        <v>90.7</v>
      </c>
      <c r="J44" s="4">
        <v>90.7</v>
      </c>
      <c r="K44" s="4">
        <v>835.1</v>
      </c>
      <c r="S44" s="4">
        <v>0</v>
      </c>
      <c r="T44" s="4">
        <v>126.1</v>
      </c>
      <c r="U44" s="4">
        <v>120.3</v>
      </c>
    </row>
    <row r="45" spans="2:21" s="4" customFormat="1" x14ac:dyDescent="0.25">
      <c r="B45" s="4" t="s">
        <v>47</v>
      </c>
      <c r="E45" s="4">
        <v>5.2</v>
      </c>
      <c r="F45" s="4">
        <v>15.2</v>
      </c>
      <c r="G45" s="4">
        <v>0</v>
      </c>
      <c r="H45" s="4">
        <v>0</v>
      </c>
      <c r="I45" s="4">
        <v>7.7</v>
      </c>
      <c r="J45" s="4">
        <v>8.9</v>
      </c>
      <c r="K45" s="4">
        <v>8.8000000000000007</v>
      </c>
      <c r="S45" s="28"/>
      <c r="T45" s="28"/>
      <c r="U45" s="28"/>
    </row>
    <row r="46" spans="2:21" s="4" customFormat="1" x14ac:dyDescent="0.25">
      <c r="B46" s="4" t="s">
        <v>48</v>
      </c>
      <c r="E46" s="4">
        <f>11.6+5035.9</f>
        <v>5047.5</v>
      </c>
      <c r="F46" s="4">
        <v>5135.1000000000004</v>
      </c>
      <c r="G46" s="4">
        <v>8.3000000000000007</v>
      </c>
      <c r="H46" s="4">
        <v>10.5</v>
      </c>
      <c r="I46" s="4">
        <f>13.4+0.7</f>
        <v>14.1</v>
      </c>
      <c r="J46" s="4">
        <v>45.4</v>
      </c>
      <c r="K46" s="4">
        <v>108.5</v>
      </c>
      <c r="S46" s="4">
        <f>466.7+891.2+806.9</f>
        <v>2164.8000000000002</v>
      </c>
      <c r="T46" s="4">
        <f>817.6+635.6+1314.1</f>
        <v>2767.3</v>
      </c>
      <c r="U46" s="4">
        <f>2557.9+2435.5</f>
        <v>4993.3999999999996</v>
      </c>
    </row>
    <row r="47" spans="2:21" s="5" customFormat="1" x14ac:dyDescent="0.25">
      <c r="B47" s="5" t="s">
        <v>49</v>
      </c>
      <c r="E47" s="5">
        <f t="shared" ref="E47:J47" si="57">SUM(E34:E46)</f>
        <v>8761.4</v>
      </c>
      <c r="F47" s="5">
        <f t="shared" si="57"/>
        <v>8667.2999999999993</v>
      </c>
      <c r="G47" s="5">
        <f t="shared" si="57"/>
        <v>4414.0999999999985</v>
      </c>
      <c r="H47" s="5">
        <f t="shared" si="57"/>
        <v>3005.1999999999994</v>
      </c>
      <c r="I47" s="5">
        <f t="shared" si="57"/>
        <v>3548.599999999999</v>
      </c>
      <c r="J47" s="5">
        <f t="shared" si="57"/>
        <v>3436.5</v>
      </c>
      <c r="K47" s="5">
        <f>SUM(K34:K46)</f>
        <v>5096.6000000000004</v>
      </c>
      <c r="L47" s="5">
        <f t="shared" ref="L47" si="58">SUM(L34:L46)</f>
        <v>0</v>
      </c>
      <c r="S47" s="5">
        <f t="shared" ref="S47:U47" si="59">SUM(S34:S46)</f>
        <v>6921.8</v>
      </c>
      <c r="T47" s="5">
        <f>SUM(T34:T46)</f>
        <v>6883.1</v>
      </c>
      <c r="U47" s="5">
        <f t="shared" si="59"/>
        <v>8370</v>
      </c>
    </row>
    <row r="48" spans="2:21" s="4" customFormat="1" x14ac:dyDescent="0.25">
      <c r="B48" s="4" t="s">
        <v>50</v>
      </c>
      <c r="E48" s="4">
        <v>57.2</v>
      </c>
      <c r="F48" s="4">
        <v>52.6</v>
      </c>
      <c r="G48" s="4">
        <v>47.6</v>
      </c>
      <c r="H48" s="4">
        <v>69.5</v>
      </c>
      <c r="I48" s="4">
        <v>228</v>
      </c>
      <c r="J48" s="4">
        <v>61.4</v>
      </c>
      <c r="K48" s="4">
        <v>103.6</v>
      </c>
      <c r="S48" s="4">
        <v>589.4</v>
      </c>
      <c r="T48" s="4">
        <v>1090.8</v>
      </c>
      <c r="U48" s="4">
        <v>1666.8</v>
      </c>
    </row>
    <row r="49" spans="2:21" s="4" customFormat="1" x14ac:dyDescent="0.25">
      <c r="B49" s="4" t="s">
        <v>51</v>
      </c>
      <c r="E49" s="4">
        <v>6.8</v>
      </c>
      <c r="F49" s="4">
        <v>6.5</v>
      </c>
      <c r="G49" s="4">
        <v>6.5</v>
      </c>
      <c r="H49" s="4">
        <v>6.2</v>
      </c>
      <c r="I49" s="4">
        <v>6.1</v>
      </c>
      <c r="J49" s="4">
        <v>6.2</v>
      </c>
      <c r="K49" s="4">
        <v>8</v>
      </c>
      <c r="S49" s="4">
        <v>0</v>
      </c>
      <c r="T49" s="4">
        <v>39.299999999999997</v>
      </c>
      <c r="U49" s="4">
        <v>289.2</v>
      </c>
    </row>
    <row r="50" spans="2:21" s="4" customFormat="1" x14ac:dyDescent="0.25">
      <c r="B50" s="4" t="s">
        <v>52</v>
      </c>
      <c r="E50" s="4">
        <v>8.1</v>
      </c>
      <c r="F50" s="4">
        <v>8.6</v>
      </c>
      <c r="G50" s="4">
        <v>8.6999999999999993</v>
      </c>
      <c r="H50" s="4">
        <v>14</v>
      </c>
      <c r="I50" s="4">
        <v>5.5</v>
      </c>
      <c r="J50" s="4">
        <v>6.9</v>
      </c>
      <c r="K50" s="4">
        <v>7.2</v>
      </c>
    </row>
    <row r="51" spans="2:21" s="4" customFormat="1" x14ac:dyDescent="0.25">
      <c r="B51" s="4" t="s">
        <v>53</v>
      </c>
      <c r="E51" s="4">
        <v>6.9</v>
      </c>
      <c r="F51" s="4">
        <v>10.3</v>
      </c>
      <c r="G51" s="4">
        <v>13.8</v>
      </c>
      <c r="H51" s="4">
        <v>17.399999999999999</v>
      </c>
      <c r="I51" s="4">
        <v>16.3</v>
      </c>
      <c r="J51" s="4">
        <v>19</v>
      </c>
      <c r="K51" s="4">
        <v>19.3</v>
      </c>
      <c r="S51" s="4">
        <v>89.8</v>
      </c>
      <c r="T51" s="4">
        <v>139.30000000000001</v>
      </c>
      <c r="U51" s="4">
        <v>211.5</v>
      </c>
    </row>
    <row r="52" spans="2:21" s="4" customFormat="1" x14ac:dyDescent="0.25">
      <c r="B52" s="4" t="s">
        <v>54</v>
      </c>
      <c r="E52" s="4">
        <v>3791</v>
      </c>
      <c r="F52" s="4">
        <v>3663</v>
      </c>
      <c r="G52" s="4">
        <v>0</v>
      </c>
      <c r="H52" s="4">
        <v>0</v>
      </c>
      <c r="I52" s="4">
        <v>8.1</v>
      </c>
      <c r="J52" s="4">
        <v>0</v>
      </c>
      <c r="K52" s="4">
        <v>0</v>
      </c>
    </row>
    <row r="53" spans="2:21" s="4" customFormat="1" x14ac:dyDescent="0.25">
      <c r="B53" s="4" t="s">
        <v>55</v>
      </c>
      <c r="E53" s="4">
        <v>9.6999999999999993</v>
      </c>
      <c r="F53" s="4">
        <v>5.3</v>
      </c>
      <c r="G53" s="4">
        <v>3.8</v>
      </c>
      <c r="H53" s="4">
        <v>21.6</v>
      </c>
      <c r="I53" s="4">
        <v>30.3</v>
      </c>
      <c r="J53" s="4">
        <v>181.6</v>
      </c>
      <c r="K53" s="4">
        <v>204.5</v>
      </c>
    </row>
    <row r="54" spans="2:21" s="4" customFormat="1" x14ac:dyDescent="0.25">
      <c r="B54" s="4" t="s">
        <v>56</v>
      </c>
      <c r="E54" s="4">
        <v>0.2</v>
      </c>
      <c r="F54" s="4">
        <v>0</v>
      </c>
      <c r="G54" s="4">
        <v>0.1</v>
      </c>
      <c r="H54" s="4">
        <v>2.6</v>
      </c>
      <c r="I54" s="4">
        <v>0</v>
      </c>
      <c r="J54" s="4">
        <v>0</v>
      </c>
      <c r="K54" s="4">
        <v>978.2</v>
      </c>
      <c r="S54" s="4">
        <v>1124.9000000000001</v>
      </c>
      <c r="T54" s="4">
        <v>1148</v>
      </c>
      <c r="U54" s="4">
        <v>405.6</v>
      </c>
    </row>
    <row r="55" spans="2:21" s="4" customFormat="1" x14ac:dyDescent="0.25">
      <c r="B55" s="4" t="s">
        <v>57</v>
      </c>
      <c r="E55" s="4">
        <v>1580.9</v>
      </c>
      <c r="F55" s="4">
        <v>1578.7</v>
      </c>
      <c r="G55" s="4">
        <v>0</v>
      </c>
      <c r="H55" s="4">
        <v>0</v>
      </c>
      <c r="I55" s="4">
        <v>0.6</v>
      </c>
      <c r="J55" s="4">
        <v>0.1</v>
      </c>
      <c r="K55" s="4">
        <v>0.3</v>
      </c>
      <c r="S55" s="4">
        <f>193+265.5</f>
        <v>458.5</v>
      </c>
      <c r="T55" s="4">
        <f>365+462</f>
        <v>827</v>
      </c>
      <c r="U55" s="4">
        <f>751.1+456.1</f>
        <v>1207.2</v>
      </c>
    </row>
    <row r="56" spans="2:21" s="5" customFormat="1" x14ac:dyDescent="0.25">
      <c r="B56" s="5" t="s">
        <v>58</v>
      </c>
      <c r="E56" s="5">
        <f t="shared" ref="E56:J56" si="60">SUM(E48:E55)</f>
        <v>5460.7999999999993</v>
      </c>
      <c r="F56" s="5">
        <f t="shared" si="60"/>
        <v>5325</v>
      </c>
      <c r="G56" s="5">
        <f t="shared" si="60"/>
        <v>80.499999999999986</v>
      </c>
      <c r="H56" s="5">
        <f t="shared" si="60"/>
        <v>131.29999999999998</v>
      </c>
      <c r="I56" s="5">
        <f t="shared" si="60"/>
        <v>294.90000000000003</v>
      </c>
      <c r="J56" s="5">
        <f t="shared" si="60"/>
        <v>275.20000000000005</v>
      </c>
      <c r="K56" s="5">
        <f>SUM(K48:K55)</f>
        <v>1321.1000000000001</v>
      </c>
      <c r="L56" s="5">
        <f t="shared" ref="L56" si="61">SUM(L48:L55)</f>
        <v>0</v>
      </c>
      <c r="S56" s="5">
        <f t="shared" ref="S56:U56" si="62">SUM(S48:S55)</f>
        <v>2262.6</v>
      </c>
      <c r="T56" s="5">
        <f t="shared" si="62"/>
        <v>3244.3999999999996</v>
      </c>
      <c r="U56" s="5">
        <f t="shared" si="62"/>
        <v>3780.3</v>
      </c>
    </row>
    <row r="57" spans="2:21" s="4" customFormat="1" x14ac:dyDescent="0.25">
      <c r="B57" s="4" t="s">
        <v>59</v>
      </c>
      <c r="E57" s="4">
        <v>3300.6</v>
      </c>
      <c r="F57" s="4">
        <v>3342.3</v>
      </c>
      <c r="G57" s="4">
        <v>4333.6000000000004</v>
      </c>
      <c r="H57" s="4">
        <v>2873.9</v>
      </c>
      <c r="I57" s="4">
        <v>3253.7</v>
      </c>
      <c r="J57" s="4">
        <v>3161.3</v>
      </c>
      <c r="K57" s="4">
        <v>3775.5</v>
      </c>
      <c r="S57" s="4">
        <v>4659.2</v>
      </c>
      <c r="T57" s="4">
        <v>3638.7</v>
      </c>
      <c r="U57" s="4">
        <v>4589.7</v>
      </c>
    </row>
    <row r="58" spans="2:21" s="5" customFormat="1" x14ac:dyDescent="0.25">
      <c r="B58" s="5" t="s">
        <v>60</v>
      </c>
      <c r="E58" s="5">
        <f t="shared" ref="E58:J58" si="63">E56+E57</f>
        <v>8761.4</v>
      </c>
      <c r="F58" s="5">
        <f t="shared" si="63"/>
        <v>8667.2999999999993</v>
      </c>
      <c r="G58" s="5">
        <f t="shared" si="63"/>
        <v>4414.1000000000004</v>
      </c>
      <c r="H58" s="5">
        <f t="shared" si="63"/>
        <v>3005.2000000000003</v>
      </c>
      <c r="I58" s="5">
        <f t="shared" si="63"/>
        <v>3548.6</v>
      </c>
      <c r="J58" s="5">
        <f t="shared" si="63"/>
        <v>3436.5</v>
      </c>
      <c r="K58" s="5">
        <f>K56+K57</f>
        <v>5096.6000000000004</v>
      </c>
      <c r="L58" s="5">
        <f t="shared" ref="L58" si="64">L56+L57</f>
        <v>0</v>
      </c>
      <c r="S58" s="5">
        <f t="shared" ref="S58:U58" si="65">S56+S57</f>
        <v>6921.7999999999993</v>
      </c>
      <c r="T58" s="5">
        <f t="shared" si="65"/>
        <v>6883.0999999999995</v>
      </c>
      <c r="U58" s="5">
        <f t="shared" si="65"/>
        <v>8370</v>
      </c>
    </row>
    <row r="62" spans="2:21" s="4" customFormat="1" x14ac:dyDescent="0.25">
      <c r="B62" s="4" t="s">
        <v>62</v>
      </c>
      <c r="G62" s="4">
        <v>14.5</v>
      </c>
      <c r="K62" s="4">
        <v>105.1</v>
      </c>
      <c r="S62" s="4">
        <v>440.4</v>
      </c>
      <c r="T62" s="4">
        <v>124.29300000000001</v>
      </c>
      <c r="U62" s="4">
        <v>565.78300000000002</v>
      </c>
    </row>
    <row r="63" spans="2:21" s="4" customFormat="1" x14ac:dyDescent="0.25">
      <c r="B63" s="27" t="s">
        <v>119</v>
      </c>
      <c r="S63" s="4">
        <v>-1620.19</v>
      </c>
      <c r="T63" s="4">
        <v>294.16699999999997</v>
      </c>
      <c r="U63" s="4">
        <v>-308.59699999999998</v>
      </c>
    </row>
    <row r="64" spans="2:21" s="4" customFormat="1" x14ac:dyDescent="0.25">
      <c r="B64" s="27" t="s">
        <v>120</v>
      </c>
      <c r="S64" s="4">
        <v>1886.68</v>
      </c>
      <c r="T64" s="4">
        <v>-1134.7919999999999</v>
      </c>
      <c r="U64" s="4">
        <v>-74.903000000000006</v>
      </c>
    </row>
    <row r="65" spans="2:22" s="5" customFormat="1" x14ac:dyDescent="0.25">
      <c r="B65" s="5" t="s">
        <v>121</v>
      </c>
      <c r="S65" s="5">
        <f t="shared" ref="S65:T65" si="66">SUM(S62:S64)</f>
        <v>706.8900000000001</v>
      </c>
      <c r="T65" s="5">
        <f t="shared" si="66"/>
        <v>-716.33199999999988</v>
      </c>
      <c r="U65" s="5">
        <f>SUM(U62:U64)</f>
        <v>182.28300000000002</v>
      </c>
    </row>
    <row r="66" spans="2:22" s="4" customFormat="1" x14ac:dyDescent="0.25">
      <c r="B66" s="4" t="s">
        <v>63</v>
      </c>
      <c r="G66" s="4">
        <v>-61.6</v>
      </c>
      <c r="K66" s="4">
        <v>-91.5</v>
      </c>
      <c r="S66" s="4">
        <v>-331.6</v>
      </c>
      <c r="T66" s="4">
        <v>-596.79999999999995</v>
      </c>
      <c r="U66" s="4">
        <v>-705.1</v>
      </c>
    </row>
    <row r="67" spans="2:22" s="5" customFormat="1" x14ac:dyDescent="0.25">
      <c r="B67" s="5" t="s">
        <v>64</v>
      </c>
      <c r="E67" s="5">
        <f t="shared" ref="E67:J67" si="67">+E62+E66</f>
        <v>0</v>
      </c>
      <c r="F67" s="5">
        <f t="shared" si="67"/>
        <v>0</v>
      </c>
      <c r="G67" s="5">
        <f t="shared" si="67"/>
        <v>-47.1</v>
      </c>
      <c r="H67" s="5">
        <f t="shared" si="67"/>
        <v>0</v>
      </c>
      <c r="I67" s="5">
        <f t="shared" si="67"/>
        <v>0</v>
      </c>
      <c r="J67" s="5">
        <f t="shared" si="67"/>
        <v>0</v>
      </c>
      <c r="K67" s="5">
        <f>+K62+K66</f>
        <v>13.599999999999994</v>
      </c>
      <c r="L67" s="5">
        <f t="shared" ref="L67" si="68">+L62+L66</f>
        <v>0</v>
      </c>
      <c r="S67" s="5">
        <f t="shared" ref="S67:T67" si="69">+S62+S66</f>
        <v>108.79999999999995</v>
      </c>
      <c r="T67" s="5">
        <f t="shared" si="69"/>
        <v>-472.50699999999995</v>
      </c>
      <c r="U67" s="5">
        <f>+U62+U66</f>
        <v>-139.31700000000001</v>
      </c>
    </row>
    <row r="68" spans="2:22" s="3" customFormat="1" x14ac:dyDescent="0.25"/>
    <row r="69" spans="2:22" s="26" customFormat="1" x14ac:dyDescent="0.25">
      <c r="B69" s="26" t="s">
        <v>65</v>
      </c>
      <c r="K69" s="26">
        <f>K62/K3</f>
        <v>1</v>
      </c>
      <c r="S69" s="26">
        <f t="shared" ref="S69:U69" si="70">+S67/S74</f>
        <v>3.6890109517512613E-2</v>
      </c>
      <c r="T69" s="26">
        <f t="shared" si="70"/>
        <v>-9.9189075718454131E-2</v>
      </c>
      <c r="U69" s="26">
        <f>+U67/U74</f>
        <v>-1.9676430710129374E-2</v>
      </c>
    </row>
    <row r="70" spans="2:22" s="26" customFormat="1" x14ac:dyDescent="0.25">
      <c r="B70" s="26" t="s">
        <v>66</v>
      </c>
      <c r="K70" s="26">
        <f>-K66/K3</f>
        <v>0.87059942911512844</v>
      </c>
      <c r="S70" s="26">
        <f t="shared" ref="S70:U70" si="71">-S66/S74</f>
        <v>0.11243345878683078</v>
      </c>
      <c r="T70" s="26">
        <f t="shared" si="71"/>
        <v>0.12528076915003045</v>
      </c>
      <c r="U70" s="26">
        <f>-U66/U74</f>
        <v>9.958476922207786E-2</v>
      </c>
    </row>
    <row r="74" spans="2:22" s="4" customFormat="1" x14ac:dyDescent="0.25">
      <c r="B74" s="27" t="s">
        <v>107</v>
      </c>
      <c r="F74" s="4">
        <v>2471.8000000000002</v>
      </c>
      <c r="S74" s="4">
        <v>2949.3</v>
      </c>
      <c r="T74" s="4">
        <v>4763.7</v>
      </c>
      <c r="U74" s="4">
        <v>7080.4</v>
      </c>
      <c r="V74" s="4">
        <v>9350</v>
      </c>
    </row>
    <row r="75" spans="2:22" s="4" customFormat="1" x14ac:dyDescent="0.25">
      <c r="B75" s="27" t="s">
        <v>15</v>
      </c>
      <c r="S75" s="4">
        <v>1158.0999999999999</v>
      </c>
      <c r="T75" s="4">
        <v>2326.6</v>
      </c>
      <c r="U75" s="4">
        <v>3165.2</v>
      </c>
    </row>
    <row r="76" spans="2:22" s="5" customFormat="1" x14ac:dyDescent="0.25">
      <c r="B76" s="5" t="s">
        <v>16</v>
      </c>
      <c r="S76" s="5">
        <f t="shared" ref="S76:T76" si="72">S74-S75</f>
        <v>1791.2000000000003</v>
      </c>
      <c r="T76" s="5">
        <f t="shared" si="72"/>
        <v>2437.1</v>
      </c>
      <c r="U76" s="5">
        <f>U74-U75</f>
        <v>3915.2</v>
      </c>
    </row>
    <row r="77" spans="2:22" s="4" customFormat="1" x14ac:dyDescent="0.25">
      <c r="B77" s="27" t="s">
        <v>108</v>
      </c>
      <c r="F77" s="4">
        <v>2220.1999999999998</v>
      </c>
      <c r="K77" s="4">
        <f>+F74-F77</f>
        <v>251.60000000000036</v>
      </c>
      <c r="S77" s="4">
        <v>1579.6</v>
      </c>
      <c r="T77" s="4">
        <v>2614.6999999999998</v>
      </c>
      <c r="U77" s="4">
        <v>3735.6</v>
      </c>
    </row>
    <row r="78" spans="2:22" s="5" customFormat="1" x14ac:dyDescent="0.25">
      <c r="B78" s="5" t="s">
        <v>109</v>
      </c>
      <c r="F78" s="5">
        <v>251.7</v>
      </c>
      <c r="S78" s="5">
        <f t="shared" ref="S78:T78" si="73">+S76-S77</f>
        <v>211.60000000000036</v>
      </c>
      <c r="T78" s="5">
        <f t="shared" si="73"/>
        <v>-177.59999999999991</v>
      </c>
      <c r="U78" s="5">
        <f>+U76-U77</f>
        <v>179.59999999999991</v>
      </c>
    </row>
    <row r="79" spans="2:22" s="27" customFormat="1" x14ac:dyDescent="0.25">
      <c r="B79" s="27" t="s">
        <v>118</v>
      </c>
      <c r="S79" s="27">
        <v>281.93</v>
      </c>
      <c r="T79" s="27">
        <v>80.971999999999994</v>
      </c>
      <c r="U79" s="27">
        <v>775.12900000000002</v>
      </c>
    </row>
    <row r="80" spans="2:22" s="5" customFormat="1" x14ac:dyDescent="0.25">
      <c r="B80" s="5" t="s">
        <v>25</v>
      </c>
      <c r="S80" s="5">
        <f>+S78+S79</f>
        <v>493.53000000000037</v>
      </c>
      <c r="T80" s="5">
        <f t="shared" ref="T80:U80" si="74">+T78+T79</f>
        <v>-96.627999999999915</v>
      </c>
      <c r="U80" s="5">
        <f t="shared" si="74"/>
        <v>954.72899999999993</v>
      </c>
    </row>
    <row r="81" spans="2:22" s="27" customFormat="1" x14ac:dyDescent="0.25">
      <c r="B81" s="27" t="s">
        <v>26</v>
      </c>
      <c r="S81" s="27">
        <v>178.2</v>
      </c>
      <c r="T81" s="27">
        <v>99.4</v>
      </c>
      <c r="U81" s="27">
        <v>308.5</v>
      </c>
    </row>
    <row r="82" spans="2:22" s="5" customFormat="1" x14ac:dyDescent="0.25">
      <c r="B82" s="5" t="s">
        <v>110</v>
      </c>
      <c r="F82" s="5">
        <v>209.8</v>
      </c>
      <c r="S82" s="5">
        <f>+S80-S81</f>
        <v>315.33000000000038</v>
      </c>
      <c r="T82" s="5">
        <f t="shared" ref="T82:U82" si="75">+T80-T81</f>
        <v>-196.02799999999991</v>
      </c>
      <c r="U82" s="5">
        <f t="shared" si="75"/>
        <v>646.22899999999993</v>
      </c>
      <c r="V82" s="5">
        <v>232</v>
      </c>
    </row>
    <row r="84" spans="2:22" s="6" customFormat="1" x14ac:dyDescent="0.25">
      <c r="B84" s="26" t="s">
        <v>111</v>
      </c>
      <c r="F84" s="6">
        <f>(F74-F77)/F74</f>
        <v>0.10178817056396162</v>
      </c>
      <c r="S84" s="6">
        <f t="shared" ref="S84:V84" si="76">(S74-S77)/S74</f>
        <v>0.46441528498287737</v>
      </c>
      <c r="T84" s="6">
        <f t="shared" si="76"/>
        <v>0.45111992778722421</v>
      </c>
      <c r="U84" s="6">
        <f t="shared" si="76"/>
        <v>0.47240268911360939</v>
      </c>
      <c r="V84" s="6">
        <f t="shared" si="76"/>
        <v>1</v>
      </c>
    </row>
    <row r="85" spans="2:22" s="6" customFormat="1" x14ac:dyDescent="0.25">
      <c r="B85" s="26" t="s">
        <v>31</v>
      </c>
      <c r="F85" s="6">
        <f>+F78/(F74-F77)</f>
        <v>1.0003974562798077</v>
      </c>
      <c r="S85" s="6">
        <f t="shared" ref="S85:V85" si="77">+S78/(S74-S77)</f>
        <v>0.15448638387968192</v>
      </c>
      <c r="T85" s="6">
        <f t="shared" si="77"/>
        <v>-8.2643089809213546E-2</v>
      </c>
      <c r="U85" s="6">
        <f t="shared" si="77"/>
        <v>5.3695288208562522E-2</v>
      </c>
      <c r="V85" s="6">
        <f t="shared" si="77"/>
        <v>0</v>
      </c>
    </row>
    <row r="86" spans="2:22" s="6" customFormat="1" x14ac:dyDescent="0.25">
      <c r="B86" s="26" t="s">
        <v>33</v>
      </c>
      <c r="F86" s="6">
        <f>F82/F74</f>
        <v>8.4877417266769159E-2</v>
      </c>
      <c r="S86" s="6">
        <f t="shared" ref="S86:V86" si="78">S82/S74</f>
        <v>0.10691689553453373</v>
      </c>
      <c r="T86" s="6">
        <f t="shared" si="78"/>
        <v>-4.1150366311900395E-2</v>
      </c>
      <c r="U86" s="6">
        <f t="shared" si="78"/>
        <v>9.1270125981582961E-2</v>
      </c>
      <c r="V86" s="6">
        <f t="shared" si="78"/>
        <v>2.4812834224598932E-2</v>
      </c>
    </row>
    <row r="88" spans="2:22" s="6" customFormat="1" x14ac:dyDescent="0.25">
      <c r="B88" s="26" t="s">
        <v>34</v>
      </c>
      <c r="T88" s="6">
        <f t="shared" ref="T88:V88" si="79">T74/S74-1</f>
        <v>0.61519682636557804</v>
      </c>
      <c r="U88" s="6">
        <f t="shared" si="79"/>
        <v>0.4863236559816948</v>
      </c>
      <c r="V88" s="6">
        <f>V74/U74-1</f>
        <v>0.32054686175922265</v>
      </c>
    </row>
  </sheetData>
  <mergeCells count="1">
    <mergeCell ref="S1:U1"/>
  </mergeCells>
  <phoneticPr fontId="5" type="noConversion"/>
  <hyperlinks>
    <hyperlink ref="A1" location="Main!A1" display="Main" xr:uid="{8626E595-9A2C-44B7-A93D-0F5D7E6AA442}"/>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B98C-6399-4576-B06A-A5E1160708A7}">
  <dimension ref="B1:J10"/>
  <sheetViews>
    <sheetView workbookViewId="0">
      <selection activeCell="B2" sqref="B2"/>
    </sheetView>
  </sheetViews>
  <sheetFormatPr defaultRowHeight="14.4" x14ac:dyDescent="0.3"/>
  <cols>
    <col min="2" max="2" width="17.6640625" customWidth="1"/>
    <col min="3" max="3" width="13.6640625" bestFit="1" customWidth="1"/>
    <col min="5" max="5" width="8.44140625" customWidth="1"/>
    <col min="6" max="6" width="17.6640625" customWidth="1"/>
  </cols>
  <sheetData>
    <row r="1" spans="2:10" x14ac:dyDescent="0.3">
      <c r="B1" s="2" t="s">
        <v>100</v>
      </c>
    </row>
    <row r="2" spans="2:10" x14ac:dyDescent="0.3">
      <c r="D2" s="25" t="s">
        <v>79</v>
      </c>
      <c r="E2" s="25"/>
      <c r="F2" s="12"/>
    </row>
    <row r="3" spans="2:10" ht="20.399999999999999" customHeight="1" x14ac:dyDescent="0.3">
      <c r="B3" s="11" t="s">
        <v>77</v>
      </c>
      <c r="C3" s="11" t="s">
        <v>78</v>
      </c>
      <c r="D3" s="11" t="s">
        <v>75</v>
      </c>
      <c r="E3" s="11" t="s">
        <v>80</v>
      </c>
      <c r="F3" s="12" t="s">
        <v>87</v>
      </c>
      <c r="G3" s="25" t="s">
        <v>81</v>
      </c>
      <c r="H3" s="25"/>
      <c r="I3" s="25"/>
      <c r="J3" s="25"/>
    </row>
    <row r="4" spans="2:10" ht="76.8" customHeight="1" x14ac:dyDescent="0.3">
      <c r="B4" s="16" t="s">
        <v>83</v>
      </c>
      <c r="C4" s="13">
        <v>25</v>
      </c>
      <c r="D4" s="13">
        <v>75</v>
      </c>
      <c r="E4" s="14">
        <v>60000</v>
      </c>
      <c r="F4" s="19" t="s">
        <v>88</v>
      </c>
      <c r="G4" s="24" t="s">
        <v>82</v>
      </c>
      <c r="H4" s="24"/>
      <c r="I4" s="24"/>
      <c r="J4" s="24"/>
    </row>
    <row r="5" spans="2:10" ht="57.6" x14ac:dyDescent="0.3">
      <c r="B5" s="9" t="s">
        <v>84</v>
      </c>
      <c r="C5" s="20" t="s">
        <v>85</v>
      </c>
      <c r="D5" s="21" t="s">
        <v>85</v>
      </c>
      <c r="E5" s="19" t="s">
        <v>85</v>
      </c>
      <c r="F5" s="19" t="s">
        <v>88</v>
      </c>
      <c r="G5" s="23" t="s">
        <v>86</v>
      </c>
      <c r="H5" s="23"/>
      <c r="I5" s="23"/>
      <c r="J5" s="23"/>
    </row>
    <row r="6" spans="2:10" ht="43.2" x14ac:dyDescent="0.3">
      <c r="B6" s="9" t="s">
        <v>89</v>
      </c>
      <c r="C6" s="17">
        <v>10</v>
      </c>
      <c r="D6" s="21" t="s">
        <v>91</v>
      </c>
      <c r="E6" s="19" t="s">
        <v>85</v>
      </c>
      <c r="F6" s="19" t="s">
        <v>85</v>
      </c>
      <c r="G6" s="24" t="s">
        <v>90</v>
      </c>
      <c r="H6" s="24"/>
      <c r="I6" s="24"/>
      <c r="J6" s="24"/>
    </row>
    <row r="7" spans="2:10" ht="61.2" customHeight="1" x14ac:dyDescent="0.3">
      <c r="B7" s="15" t="s">
        <v>92</v>
      </c>
      <c r="C7" s="17">
        <v>5</v>
      </c>
      <c r="D7" s="18">
        <v>40</v>
      </c>
      <c r="E7" s="19" t="s">
        <v>85</v>
      </c>
      <c r="F7" s="19" t="s">
        <v>85</v>
      </c>
      <c r="G7" s="24" t="s">
        <v>93</v>
      </c>
      <c r="H7" s="24"/>
      <c r="I7" s="24"/>
      <c r="J7" s="24"/>
    </row>
    <row r="8" spans="2:10" ht="57.6" x14ac:dyDescent="0.3">
      <c r="B8" s="22" t="s">
        <v>94</v>
      </c>
      <c r="C8" s="20" t="s">
        <v>85</v>
      </c>
      <c r="D8" s="17">
        <v>300</v>
      </c>
      <c r="E8" s="19" t="s">
        <v>85</v>
      </c>
      <c r="F8" s="19" t="s">
        <v>85</v>
      </c>
      <c r="G8" s="24" t="s">
        <v>95</v>
      </c>
      <c r="H8" s="24"/>
      <c r="I8" s="24"/>
      <c r="J8" s="24"/>
    </row>
    <row r="9" spans="2:10" x14ac:dyDescent="0.3">
      <c r="E9" s="10"/>
      <c r="F9" s="10"/>
    </row>
    <row r="10" spans="2:10" x14ac:dyDescent="0.3">
      <c r="E10" s="10"/>
      <c r="F10" s="10"/>
    </row>
  </sheetData>
  <mergeCells count="7">
    <mergeCell ref="G5:J5"/>
    <mergeCell ref="G6:J6"/>
    <mergeCell ref="G7:J7"/>
    <mergeCell ref="G8:J8"/>
    <mergeCell ref="D2:E2"/>
    <mergeCell ref="G4:J4"/>
    <mergeCell ref="G3:J3"/>
  </mergeCells>
  <hyperlinks>
    <hyperlink ref="B1" r:id="rId1" xr:uid="{A6D07467-C8E8-4401-851F-7B050DB79F2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Model</vt:lpstr>
      <vt:lpstr>Data Centers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Gega Mukhigulashvili</dc:creator>
  <cp:lastModifiedBy>Gega Mukhigulashvili</cp:lastModifiedBy>
  <dcterms:created xsi:type="dcterms:W3CDTF">2015-06-05T18:17:20Z</dcterms:created>
  <dcterms:modified xsi:type="dcterms:W3CDTF">2025-09-04T10:53:27Z</dcterms:modified>
</cp:coreProperties>
</file>