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9299CFB2-0064-4D77-AA30-F2E020B720D1}" xr6:coauthVersionLast="47" xr6:coauthVersionMax="47" xr10:uidLastSave="{00000000-0000-0000-0000-000000000000}"/>
  <bookViews>
    <workbookView xWindow="22104" yWindow="3780" windowWidth="17280" windowHeight="11076" xr2:uid="{00000000-000D-0000-FFFF-FFFF00000000}"/>
  </bookViews>
  <sheets>
    <sheet name="Main" sheetId="1" r:id="rId1"/>
    <sheet name="Model" sheetId="2" r:id="rId2"/>
    <sheet name="Data Center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69" i="2"/>
  <c r="I69" i="2"/>
  <c r="H69" i="2"/>
  <c r="G69" i="2"/>
  <c r="F69" i="2"/>
  <c r="E69" i="2"/>
  <c r="O69" i="2"/>
  <c r="N69" i="2"/>
  <c r="M69" i="2"/>
  <c r="L69" i="2"/>
  <c r="K69" i="2"/>
  <c r="J68" i="2"/>
  <c r="I68" i="2"/>
  <c r="H68" i="2"/>
  <c r="G68" i="2"/>
  <c r="F68" i="2"/>
  <c r="E68" i="2"/>
  <c r="O68" i="2"/>
  <c r="N68" i="2"/>
  <c r="M68" i="2"/>
  <c r="L68" i="2"/>
  <c r="K68" i="2"/>
  <c r="J70" i="2"/>
  <c r="I70" i="2"/>
  <c r="H70" i="2"/>
  <c r="G70" i="2"/>
  <c r="F70" i="2"/>
  <c r="E70" i="2"/>
  <c r="O70" i="2"/>
  <c r="N70" i="2"/>
  <c r="M70" i="2"/>
  <c r="L70" i="2"/>
  <c r="K70" i="2"/>
  <c r="U18" i="2"/>
  <c r="U16" i="2"/>
  <c r="U15" i="2"/>
  <c r="U14" i="2"/>
  <c r="U11" i="2"/>
  <c r="U10" i="2"/>
  <c r="U9" i="2"/>
  <c r="U8" i="2"/>
  <c r="U4" i="2"/>
  <c r="U3" i="2"/>
  <c r="U89" i="2" s="1"/>
  <c r="R5" i="2"/>
  <c r="R6" i="2"/>
  <c r="R7" i="2"/>
  <c r="R9" i="2"/>
  <c r="R18" i="2"/>
  <c r="R78" i="2"/>
  <c r="R82" i="2"/>
  <c r="R83" i="2"/>
  <c r="R85" i="2" s="1"/>
  <c r="R87" i="2"/>
  <c r="R88" i="2"/>
  <c r="R89" i="2"/>
  <c r="I142" i="2"/>
  <c r="H132" i="2"/>
  <c r="H134" i="2" s="1"/>
  <c r="J13" i="1"/>
  <c r="J12" i="1"/>
  <c r="O33" i="2"/>
  <c r="N33" i="2"/>
  <c r="M33" i="2"/>
  <c r="L33" i="2"/>
  <c r="J33" i="2"/>
  <c r="I33" i="2"/>
  <c r="H33" i="2"/>
  <c r="G33" i="2"/>
  <c r="F33" i="2"/>
  <c r="E33" i="2"/>
  <c r="K33" i="2"/>
  <c r="D9" i="2"/>
  <c r="D7" i="2"/>
  <c r="D6" i="2"/>
  <c r="H7" i="2"/>
  <c r="H6" i="2"/>
  <c r="H40" i="2"/>
  <c r="H46" i="2" s="1"/>
  <c r="S132" i="2"/>
  <c r="S134" i="2" s="1"/>
  <c r="T132" i="2"/>
  <c r="T134" i="2" s="1"/>
  <c r="T142" i="2"/>
  <c r="S142" i="2"/>
  <c r="V87" i="2"/>
  <c r="V83" i="2"/>
  <c r="V85" i="2" s="1"/>
  <c r="V78" i="2"/>
  <c r="V95" i="2"/>
  <c r="S95" i="2"/>
  <c r="T95" i="2"/>
  <c r="V94" i="2"/>
  <c r="T94" i="2"/>
  <c r="U94" i="2"/>
  <c r="U83" i="2"/>
  <c r="U85" i="2" s="1"/>
  <c r="S83" i="2"/>
  <c r="S85" i="2" s="1"/>
  <c r="T82" i="2"/>
  <c r="T83" i="2" s="1"/>
  <c r="T85" i="2" s="1"/>
  <c r="T89" i="2"/>
  <c r="S89" i="2"/>
  <c r="U87" i="2"/>
  <c r="T87" i="2"/>
  <c r="S87" i="2"/>
  <c r="U78" i="2"/>
  <c r="T78" i="2"/>
  <c r="S78" i="2"/>
  <c r="V29" i="2"/>
  <c r="U29" i="2"/>
  <c r="S29" i="2"/>
  <c r="T29" i="2"/>
  <c r="S28" i="2"/>
  <c r="T28" i="2"/>
  <c r="T18" i="2"/>
  <c r="T7" i="2"/>
  <c r="T6" i="2"/>
  <c r="S18" i="2"/>
  <c r="S9" i="2"/>
  <c r="S7" i="2"/>
  <c r="S6" i="2"/>
  <c r="V12" i="2"/>
  <c r="V5" i="2"/>
  <c r="V23" i="2" s="1"/>
  <c r="T5" i="2"/>
  <c r="S5" i="2"/>
  <c r="S23" i="2" s="1"/>
  <c r="E52" i="2"/>
  <c r="E63" i="2" s="1"/>
  <c r="E65" i="2" s="1"/>
  <c r="E40" i="2"/>
  <c r="E46" i="2" s="1"/>
  <c r="J89" i="2"/>
  <c r="I89" i="2"/>
  <c r="H89" i="2"/>
  <c r="G89" i="2"/>
  <c r="F89" i="2"/>
  <c r="E89" i="2"/>
  <c r="D89" i="2"/>
  <c r="O89" i="2"/>
  <c r="N89" i="2"/>
  <c r="M89" i="2"/>
  <c r="L89" i="2"/>
  <c r="K89" i="2"/>
  <c r="J87" i="2"/>
  <c r="J88" i="2" s="1"/>
  <c r="I87" i="2"/>
  <c r="I88" i="2" s="1"/>
  <c r="H87" i="2"/>
  <c r="H88" i="2" s="1"/>
  <c r="G87" i="2"/>
  <c r="G88" i="2" s="1"/>
  <c r="F87" i="2"/>
  <c r="F88" i="2" s="1"/>
  <c r="E87" i="2"/>
  <c r="E88" i="2" s="1"/>
  <c r="D87" i="2"/>
  <c r="D88" i="2" s="1"/>
  <c r="O87" i="2"/>
  <c r="O88" i="2" s="1"/>
  <c r="N87" i="2"/>
  <c r="N88" i="2" s="1"/>
  <c r="M87" i="2"/>
  <c r="M88" i="2" s="1"/>
  <c r="L87" i="2"/>
  <c r="L88" i="2" s="1"/>
  <c r="K87" i="2"/>
  <c r="O83" i="2"/>
  <c r="O85" i="2" s="1"/>
  <c r="N83" i="2"/>
  <c r="M83" i="2"/>
  <c r="L83" i="2"/>
  <c r="L85" i="2" s="1"/>
  <c r="K83" i="2"/>
  <c r="K85" i="2" s="1"/>
  <c r="J83" i="2"/>
  <c r="J85" i="2" s="1"/>
  <c r="I83" i="2"/>
  <c r="I85" i="2" s="1"/>
  <c r="H83" i="2"/>
  <c r="H85" i="2" s="1"/>
  <c r="F83" i="2"/>
  <c r="F85" i="2" s="1"/>
  <c r="E83" i="2"/>
  <c r="E85" i="2" s="1"/>
  <c r="D83" i="2"/>
  <c r="D85" i="2" s="1"/>
  <c r="G83" i="2"/>
  <c r="G85" i="2" s="1"/>
  <c r="K78" i="2"/>
  <c r="F5" i="2"/>
  <c r="O142" i="2"/>
  <c r="N142" i="2"/>
  <c r="M142" i="2"/>
  <c r="L142" i="2"/>
  <c r="J142" i="2"/>
  <c r="H142" i="2"/>
  <c r="G142" i="2"/>
  <c r="F142" i="2"/>
  <c r="E142" i="2"/>
  <c r="D142" i="2"/>
  <c r="K142" i="2"/>
  <c r="M134" i="2"/>
  <c r="J132" i="2"/>
  <c r="J134" i="2" s="1"/>
  <c r="I132" i="2"/>
  <c r="I134" i="2" s="1"/>
  <c r="G132" i="2"/>
  <c r="G134" i="2" s="1"/>
  <c r="F132" i="2"/>
  <c r="F134" i="2" s="1"/>
  <c r="E132" i="2"/>
  <c r="E134" i="2" s="1"/>
  <c r="D132" i="2"/>
  <c r="D134" i="2" s="1"/>
  <c r="O132" i="2"/>
  <c r="O134" i="2" s="1"/>
  <c r="N132" i="2"/>
  <c r="N134" i="2" s="1"/>
  <c r="M132" i="2"/>
  <c r="L132" i="2"/>
  <c r="L134" i="2" s="1"/>
  <c r="K132" i="2"/>
  <c r="K134" i="2" s="1"/>
  <c r="J127" i="2"/>
  <c r="I127" i="2"/>
  <c r="H127" i="2"/>
  <c r="G127" i="2"/>
  <c r="F127" i="2"/>
  <c r="E127" i="2"/>
  <c r="D127" i="2"/>
  <c r="O127" i="2"/>
  <c r="N127" i="2"/>
  <c r="M127" i="2"/>
  <c r="L127" i="2"/>
  <c r="K127" i="2"/>
  <c r="O121" i="2"/>
  <c r="N121" i="2"/>
  <c r="M121" i="2"/>
  <c r="L121" i="2"/>
  <c r="J121" i="2"/>
  <c r="I121" i="2"/>
  <c r="H121" i="2"/>
  <c r="G121" i="2"/>
  <c r="F121" i="2"/>
  <c r="E121" i="2"/>
  <c r="D121" i="2"/>
  <c r="K121" i="2"/>
  <c r="J111" i="2"/>
  <c r="I111" i="2"/>
  <c r="H111" i="2"/>
  <c r="G111" i="2"/>
  <c r="F111" i="2"/>
  <c r="E111" i="2"/>
  <c r="D111" i="2"/>
  <c r="O111" i="2"/>
  <c r="N111" i="2"/>
  <c r="M111" i="2"/>
  <c r="L111" i="2"/>
  <c r="K111" i="2"/>
  <c r="N85" i="2"/>
  <c r="M85" i="2"/>
  <c r="O78" i="2"/>
  <c r="N78" i="2"/>
  <c r="M78" i="2"/>
  <c r="L78" i="2"/>
  <c r="J78" i="2"/>
  <c r="I78" i="2"/>
  <c r="H78" i="2"/>
  <c r="G78" i="2"/>
  <c r="F78" i="2"/>
  <c r="E78" i="2"/>
  <c r="D78" i="2"/>
  <c r="J95" i="2"/>
  <c r="I95" i="2"/>
  <c r="H95" i="2"/>
  <c r="G95" i="2"/>
  <c r="F95" i="2"/>
  <c r="D95" i="2"/>
  <c r="J94" i="2"/>
  <c r="I94" i="2"/>
  <c r="H94" i="2"/>
  <c r="G94" i="2"/>
  <c r="O95" i="2"/>
  <c r="N95" i="2"/>
  <c r="M95" i="2"/>
  <c r="L95" i="2"/>
  <c r="O94" i="2"/>
  <c r="N94" i="2"/>
  <c r="M94" i="2"/>
  <c r="L94" i="2"/>
  <c r="K95" i="2"/>
  <c r="K94" i="2"/>
  <c r="J63" i="2"/>
  <c r="J65" i="2" s="1"/>
  <c r="I63" i="2"/>
  <c r="I65" i="2" s="1"/>
  <c r="H63" i="2"/>
  <c r="H65" i="2" s="1"/>
  <c r="G63" i="2"/>
  <c r="G65" i="2" s="1"/>
  <c r="F63" i="2"/>
  <c r="F65" i="2" s="1"/>
  <c r="D63" i="2"/>
  <c r="D65" i="2" s="1"/>
  <c r="O63" i="2"/>
  <c r="O65" i="2" s="1"/>
  <c r="N63" i="2"/>
  <c r="N65" i="2" s="1"/>
  <c r="M63" i="2"/>
  <c r="M65" i="2" s="1"/>
  <c r="L63" i="2"/>
  <c r="L65" i="2" s="1"/>
  <c r="K63" i="2"/>
  <c r="K65" i="2" s="1"/>
  <c r="J46" i="2"/>
  <c r="I46" i="2"/>
  <c r="G46" i="2"/>
  <c r="F46" i="2"/>
  <c r="D46" i="2"/>
  <c r="O46" i="2"/>
  <c r="N46" i="2"/>
  <c r="M46" i="2"/>
  <c r="L46" i="2"/>
  <c r="K46" i="2"/>
  <c r="S90" i="2" l="1"/>
  <c r="U88" i="2"/>
  <c r="U5" i="2"/>
  <c r="U28" i="2"/>
  <c r="U95" i="2"/>
  <c r="V28" i="2"/>
  <c r="R12" i="2"/>
  <c r="U13" i="2"/>
  <c r="U17" i="2" s="1"/>
  <c r="R13" i="2"/>
  <c r="R23" i="2"/>
  <c r="T12" i="2"/>
  <c r="T13" i="2" s="1"/>
  <c r="T24" i="2" s="1"/>
  <c r="U90" i="2"/>
  <c r="M90" i="2"/>
  <c r="N90" i="2"/>
  <c r="O90" i="2"/>
  <c r="I90" i="2"/>
  <c r="T90" i="2"/>
  <c r="S12" i="2"/>
  <c r="S13" i="2" s="1"/>
  <c r="S17" i="2" s="1"/>
  <c r="J90" i="2"/>
  <c r="L90" i="2"/>
  <c r="K88" i="2"/>
  <c r="K90" i="2"/>
  <c r="G90" i="2"/>
  <c r="H90" i="2"/>
  <c r="V13" i="2"/>
  <c r="V17" i="2" s="1"/>
  <c r="V19" i="2" s="1"/>
  <c r="V73" i="2" s="1"/>
  <c r="E95" i="2"/>
  <c r="S88" i="2"/>
  <c r="T88" i="2"/>
  <c r="T23" i="2"/>
  <c r="U23" i="2"/>
  <c r="J10" i="1"/>
  <c r="J29" i="2"/>
  <c r="I29" i="2"/>
  <c r="H29" i="2"/>
  <c r="G29" i="2"/>
  <c r="F29" i="2"/>
  <c r="E29" i="2"/>
  <c r="J28" i="2"/>
  <c r="I28" i="2"/>
  <c r="H28" i="2"/>
  <c r="O29" i="2"/>
  <c r="N29" i="2"/>
  <c r="M29" i="2"/>
  <c r="L29" i="2"/>
  <c r="O28" i="2"/>
  <c r="N28" i="2"/>
  <c r="M28" i="2"/>
  <c r="L28" i="2"/>
  <c r="K29" i="2"/>
  <c r="K28" i="2"/>
  <c r="G7" i="2"/>
  <c r="G6" i="2"/>
  <c r="J12" i="2"/>
  <c r="I12" i="2"/>
  <c r="H12" i="2"/>
  <c r="F12" i="2"/>
  <c r="E12" i="2"/>
  <c r="D12" i="2"/>
  <c r="O12" i="2"/>
  <c r="N12" i="2"/>
  <c r="M12" i="2"/>
  <c r="L12" i="2"/>
  <c r="K7" i="2"/>
  <c r="U7" i="2" s="1"/>
  <c r="K6" i="2"/>
  <c r="U6" i="2" s="1"/>
  <c r="U12" i="2" s="1"/>
  <c r="J5" i="2"/>
  <c r="J23" i="2" s="1"/>
  <c r="I5" i="2"/>
  <c r="I23" i="2" s="1"/>
  <c r="H5" i="2"/>
  <c r="H23" i="2" s="1"/>
  <c r="G5" i="2"/>
  <c r="G23" i="2" s="1"/>
  <c r="F23" i="2"/>
  <c r="E5" i="2"/>
  <c r="E23" i="2" s="1"/>
  <c r="D5" i="2"/>
  <c r="D23" i="2" s="1"/>
  <c r="O5" i="2"/>
  <c r="O23" i="2" s="1"/>
  <c r="N5" i="2"/>
  <c r="N23" i="2" s="1"/>
  <c r="M5" i="2"/>
  <c r="M23" i="2" s="1"/>
  <c r="L5" i="2"/>
  <c r="L23" i="2" s="1"/>
  <c r="K5" i="2"/>
  <c r="K23" i="2" s="1"/>
  <c r="J11" i="1" l="1"/>
  <c r="J15" i="1" s="1"/>
  <c r="U24" i="2"/>
  <c r="R17" i="2"/>
  <c r="R24" i="2"/>
  <c r="V24" i="2"/>
  <c r="V25" i="2"/>
  <c r="T17" i="2"/>
  <c r="T19" i="2" s="1"/>
  <c r="T73" i="2" s="1"/>
  <c r="S24" i="2"/>
  <c r="V26" i="2"/>
  <c r="V21" i="2"/>
  <c r="S19" i="2"/>
  <c r="S73" i="2" s="1"/>
  <c r="S25" i="2"/>
  <c r="U19" i="2"/>
  <c r="U73" i="2" s="1"/>
  <c r="U25" i="2"/>
  <c r="K12" i="2"/>
  <c r="K13" i="2" s="1"/>
  <c r="K24" i="2" s="1"/>
  <c r="J13" i="2"/>
  <c r="J24" i="2" s="1"/>
  <c r="D13" i="2"/>
  <c r="D24" i="2" s="1"/>
  <c r="E13" i="2"/>
  <c r="E24" i="2" s="1"/>
  <c r="F13" i="2"/>
  <c r="H13" i="2"/>
  <c r="H24" i="2" s="1"/>
  <c r="I13" i="2"/>
  <c r="I24" i="2" s="1"/>
  <c r="N13" i="2"/>
  <c r="L13" i="2"/>
  <c r="M13" i="2"/>
  <c r="O13" i="2"/>
  <c r="G12" i="2"/>
  <c r="G13" i="2" s="1"/>
  <c r="R19" i="2" l="1"/>
  <c r="R25" i="2"/>
  <c r="T25" i="2"/>
  <c r="T26" i="2"/>
  <c r="T21" i="2"/>
  <c r="U26" i="2"/>
  <c r="U21" i="2"/>
  <c r="S26" i="2"/>
  <c r="S21" i="2"/>
  <c r="J17" i="2"/>
  <c r="J25" i="2" s="1"/>
  <c r="E17" i="2"/>
  <c r="E19" i="2" s="1"/>
  <c r="D17" i="2"/>
  <c r="D25" i="2" s="1"/>
  <c r="K17" i="2"/>
  <c r="K19" i="2" s="1"/>
  <c r="K73" i="2" s="1"/>
  <c r="F17" i="2"/>
  <c r="F24" i="2"/>
  <c r="I17" i="2"/>
  <c r="I25" i="2" s="1"/>
  <c r="H17" i="2"/>
  <c r="H19" i="2" s="1"/>
  <c r="H73" i="2" s="1"/>
  <c r="N24" i="2"/>
  <c r="N17" i="2"/>
  <c r="G17" i="2"/>
  <c r="G24" i="2"/>
  <c r="O24" i="2"/>
  <c r="O17" i="2"/>
  <c r="M24" i="2"/>
  <c r="M17" i="2"/>
  <c r="L17" i="2"/>
  <c r="L24" i="2"/>
  <c r="R73" i="2" l="1"/>
  <c r="R21" i="2"/>
  <c r="R26" i="2"/>
  <c r="D19" i="2"/>
  <c r="D26" i="2" s="1"/>
  <c r="J19" i="2"/>
  <c r="J73" i="2" s="1"/>
  <c r="K25" i="2"/>
  <c r="E26" i="2"/>
  <c r="E73" i="2"/>
  <c r="E21" i="2"/>
  <c r="E25" i="2"/>
  <c r="I19" i="2"/>
  <c r="F25" i="2"/>
  <c r="F19" i="2"/>
  <c r="F73" i="2" s="1"/>
  <c r="H25" i="2"/>
  <c r="O19" i="2"/>
  <c r="O73" i="2" s="1"/>
  <c r="O25" i="2"/>
  <c r="K26" i="2"/>
  <c r="K21" i="2"/>
  <c r="G19" i="2"/>
  <c r="G73" i="2" s="1"/>
  <c r="G25" i="2"/>
  <c r="L25" i="2"/>
  <c r="L19" i="2"/>
  <c r="L73" i="2" s="1"/>
  <c r="H21" i="2"/>
  <c r="H26" i="2"/>
  <c r="M25" i="2"/>
  <c r="M19" i="2"/>
  <c r="M73" i="2" s="1"/>
  <c r="N19" i="2"/>
  <c r="N73" i="2" s="1"/>
  <c r="N25" i="2"/>
  <c r="D73" i="2" l="1"/>
  <c r="D21" i="2"/>
  <c r="J21" i="2"/>
  <c r="J26" i="2"/>
  <c r="I21" i="2"/>
  <c r="I73" i="2"/>
  <c r="I26" i="2"/>
  <c r="F21" i="2"/>
  <c r="F26" i="2"/>
  <c r="O26" i="2"/>
  <c r="O21" i="2"/>
  <c r="M21" i="2"/>
  <c r="M26" i="2"/>
  <c r="L26" i="2"/>
  <c r="L21" i="2"/>
  <c r="N26" i="2"/>
  <c r="N21" i="2"/>
  <c r="G26" i="2"/>
  <c r="G21" i="2"/>
</calcChain>
</file>

<file path=xl/sharedStrings.xml><?xml version="1.0" encoding="utf-8"?>
<sst xmlns="http://schemas.openxmlformats.org/spreadsheetml/2006/main" count="164" uniqueCount="156">
  <si>
    <t>P</t>
  </si>
  <si>
    <t>S/O</t>
  </si>
  <si>
    <t>MC</t>
  </si>
  <si>
    <t>C</t>
  </si>
  <si>
    <t>D</t>
  </si>
  <si>
    <t>EV</t>
  </si>
  <si>
    <t>Main</t>
  </si>
  <si>
    <t>Q225</t>
  </si>
  <si>
    <t>Q223</t>
  </si>
  <si>
    <t>Q323</t>
  </si>
  <si>
    <t>Q423</t>
  </si>
  <si>
    <t>Q124</t>
  </si>
  <si>
    <t>Q224</t>
  </si>
  <si>
    <t>Q324</t>
  </si>
  <si>
    <t>Q424</t>
  </si>
  <si>
    <t>Q125</t>
  </si>
  <si>
    <t>Revenue</t>
  </si>
  <si>
    <t>COGS</t>
  </si>
  <si>
    <t>Gross Profit</t>
  </si>
  <si>
    <t>OpEx</t>
  </si>
  <si>
    <t>SG&amp;A</t>
  </si>
  <si>
    <t>Contingent consideration</t>
  </si>
  <si>
    <t>Digital currency</t>
  </si>
  <si>
    <t>Disposal of PP&amp;A</t>
  </si>
  <si>
    <t>OpInc</t>
  </si>
  <si>
    <t>IntExp</t>
  </si>
  <si>
    <t>Extinguishment of debt</t>
  </si>
  <si>
    <t>IntInc</t>
  </si>
  <si>
    <t>Pretax Income</t>
  </si>
  <si>
    <t>Taxes</t>
  </si>
  <si>
    <t>Net Income</t>
  </si>
  <si>
    <t>SO</t>
  </si>
  <si>
    <t>EPS</t>
  </si>
  <si>
    <t>Q325</t>
  </si>
  <si>
    <t>Q425</t>
  </si>
  <si>
    <t>Q126</t>
  </si>
  <si>
    <t>Q226</t>
  </si>
  <si>
    <t>Gross Margin</t>
  </si>
  <si>
    <t>Op Margin</t>
  </si>
  <si>
    <t>Tax Margin</t>
  </si>
  <si>
    <t>Net Margin</t>
  </si>
  <si>
    <t>YoY Revenue</t>
  </si>
  <si>
    <t>Dilution QoQ</t>
  </si>
  <si>
    <t>Net Cash</t>
  </si>
  <si>
    <t>Cash</t>
  </si>
  <si>
    <t>A/R</t>
  </si>
  <si>
    <t>Prepaids</t>
  </si>
  <si>
    <t>Other rec.</t>
  </si>
  <si>
    <t>OCA</t>
  </si>
  <si>
    <t>PP&amp;A</t>
  </si>
  <si>
    <t>Goodwill</t>
  </si>
  <si>
    <t>Finance lease ROU</t>
  </si>
  <si>
    <t>Restricted cash</t>
  </si>
  <si>
    <t>ONCA</t>
  </si>
  <si>
    <t>Operating lease ROU</t>
  </si>
  <si>
    <t>Total assets</t>
  </si>
  <si>
    <t>A/P</t>
  </si>
  <si>
    <t>Accrued construction liabilities</t>
  </si>
  <si>
    <t>Accured compensation</t>
  </si>
  <si>
    <t>Accrued interest</t>
  </si>
  <si>
    <t xml:space="preserve">Other accrued </t>
  </si>
  <si>
    <t>Other amounts due</t>
  </si>
  <si>
    <t>Deferred revenue</t>
  </si>
  <si>
    <t>Deferred rent, C</t>
  </si>
  <si>
    <t>Lease, C</t>
  </si>
  <si>
    <t>Finance lease, C</t>
  </si>
  <si>
    <t>Deferred rent, NC</t>
  </si>
  <si>
    <t>Operating lease, NC</t>
  </si>
  <si>
    <t>Finance lease, NC</t>
  </si>
  <si>
    <t>Convertible notes</t>
  </si>
  <si>
    <t>Other liabilities</t>
  </si>
  <si>
    <t>Total liabilities</t>
  </si>
  <si>
    <t>SE</t>
  </si>
  <si>
    <t>L+SE</t>
  </si>
  <si>
    <t>Stock-based comp.</t>
  </si>
  <si>
    <t>Depr.</t>
  </si>
  <si>
    <t>Amortization of ROU assets</t>
  </si>
  <si>
    <t xml:space="preserve">Other </t>
  </si>
  <si>
    <t>Model NI</t>
  </si>
  <si>
    <t>GAAP NI</t>
  </si>
  <si>
    <t>CFFO</t>
  </si>
  <si>
    <t>CapEx</t>
  </si>
  <si>
    <t>Sales of PP&amp;A</t>
  </si>
  <si>
    <t>CFFI</t>
  </si>
  <si>
    <t>CFFF</t>
  </si>
  <si>
    <t>CF</t>
  </si>
  <si>
    <t>Non-GAAP Adj. EBITDA</t>
  </si>
  <si>
    <t>YoY</t>
  </si>
  <si>
    <t>Margin</t>
  </si>
  <si>
    <t>FCF</t>
  </si>
  <si>
    <t>FCF Margin</t>
  </si>
  <si>
    <t>CapEx Margin</t>
  </si>
  <si>
    <t>FCF YoY</t>
  </si>
  <si>
    <t># of bitcoin held</t>
  </si>
  <si>
    <t>Miners</t>
  </si>
  <si>
    <t>Construction in progress</t>
  </si>
  <si>
    <t>Equipment</t>
  </si>
  <si>
    <t>Office furniture and fixtures</t>
  </si>
  <si>
    <t>Vehicles</t>
  </si>
  <si>
    <t>Deposits on miners</t>
  </si>
  <si>
    <t>Less: D&amp;A</t>
  </si>
  <si>
    <t>PP&amp;A, net</t>
  </si>
  <si>
    <t>Leasehold improvements</t>
  </si>
  <si>
    <t>Bitmain Model</t>
  </si>
  <si>
    <t>S19 XP</t>
  </si>
  <si>
    <t>S19j XP</t>
  </si>
  <si>
    <t>S21</t>
  </si>
  <si>
    <t>S21 Pro</t>
  </si>
  <si>
    <t>S19k Pro</t>
  </si>
  <si>
    <t>Total # of miners</t>
  </si>
  <si>
    <t>Global hasharate (EH/s)</t>
  </si>
  <si>
    <t>Miner efficiency (j/th)</t>
  </si>
  <si>
    <t>TeraWulf operational hashrate (EH/s)</t>
  </si>
  <si>
    <t>TeraWulf % of global hasrate</t>
  </si>
  <si>
    <t>Business overview</t>
  </si>
  <si>
    <t>TeraWulf is a vertically integrated owner and operator of digital infrastructure, focusing on bitcoin mining and HPC (High-Performance Computing) workloads.</t>
  </si>
  <si>
    <t>The company emphasizes its commitment to sustainability, with its operations powered predominantly by zero-carbon energy in the United States.</t>
  </si>
  <si>
    <t>Its core strategy is to leverage its owned infrastructure to drive revenue and profitability from both bitcoin mining and HPC hosting.</t>
  </si>
  <si>
    <t>The company's primary operation is the Lake Mariner Facility in New York.</t>
  </si>
  <si>
    <r>
      <t xml:space="preserve">Current capacity: </t>
    </r>
    <r>
      <rPr>
        <b/>
        <sz val="10"/>
        <color theme="1"/>
        <rFont val="Arial"/>
        <family val="2"/>
      </rPr>
      <t>245 MW</t>
    </r>
    <r>
      <rPr>
        <sz val="10"/>
        <color theme="1"/>
        <rFont val="Arial"/>
        <family val="2"/>
      </rPr>
      <t xml:space="preserve"> for bitcoin mining.</t>
    </r>
  </si>
  <si>
    <t>The facility sources 100% of its power from the Zone A grid, which is primarily low-cost, zero-carbon energy.</t>
  </si>
  <si>
    <r>
      <t xml:space="preserve">It has the ability to expand up to </t>
    </r>
    <r>
      <rPr>
        <b/>
        <sz val="10"/>
        <color theme="1"/>
        <rFont val="Arial"/>
        <family val="2"/>
      </rPr>
      <t>500 MW</t>
    </r>
    <r>
      <rPr>
        <sz val="10"/>
        <color theme="1"/>
        <rFont val="Arial"/>
        <family val="2"/>
      </rPr>
      <t xml:space="preserve"> in the near term and up to</t>
    </r>
    <r>
      <rPr>
        <b/>
        <sz val="10"/>
        <color theme="1"/>
        <rFont val="Arial"/>
        <family val="2"/>
      </rPr>
      <t xml:space="preserve"> 750 MW</t>
    </r>
    <r>
      <rPr>
        <sz val="10"/>
        <color theme="1"/>
        <rFont val="Arial"/>
        <family val="2"/>
      </rPr>
      <t xml:space="preserve"> with transmission upgrades.</t>
    </r>
  </si>
  <si>
    <r>
      <t xml:space="preserve">In October 2024, the company </t>
    </r>
    <r>
      <rPr>
        <b/>
        <sz val="10"/>
        <color theme="1"/>
        <rFont val="Arial"/>
        <family val="2"/>
      </rPr>
      <t>sold</t>
    </r>
    <r>
      <rPr>
        <sz val="10"/>
        <color theme="1"/>
        <rFont val="Arial"/>
        <family val="2"/>
      </rPr>
      <t xml:space="preserve"> its entire equity interest in the </t>
    </r>
    <r>
      <rPr>
        <b/>
        <sz val="10"/>
        <color theme="1"/>
        <rFont val="Arial"/>
        <family val="2"/>
      </rPr>
      <t>Nautilus Cryptomine Facility</t>
    </r>
    <r>
      <rPr>
        <sz val="10"/>
        <color theme="1"/>
        <rFont val="Arial"/>
        <family val="2"/>
      </rPr>
      <t xml:space="preserve"> to consolidate operations and reinvest in the Lake Mariner Facility.</t>
    </r>
  </si>
  <si>
    <t>Business Developments</t>
  </si>
  <si>
    <r>
      <t xml:space="preserve">On May 21, 2025, TeraWulf </t>
    </r>
    <r>
      <rPr>
        <b/>
        <sz val="10"/>
        <color theme="1"/>
        <rFont val="Arial"/>
        <family val="2"/>
      </rPr>
      <t>acquired 100% of Beowulf E&amp;D for approximately $54.6 million</t>
    </r>
    <r>
      <rPr>
        <sz val="10"/>
        <color theme="1"/>
        <rFont val="Arial"/>
        <family val="2"/>
      </rPr>
      <t xml:space="preserve">, which included $3.0 million in cash and 5.0 million shares of common stock. </t>
    </r>
  </si>
  <si>
    <t>The agreement also includes potential future contingent payments of up to $19.0 million in cash and $13.0 million in stock based on the achievement of specific milestones.</t>
  </si>
  <si>
    <t>The company is strategically transitioning some of its capacity to HPC hosting.</t>
  </si>
  <si>
    <r>
      <t xml:space="preserve">It signed multi-year data center lease agreements with Core42, a G42 company, to provide </t>
    </r>
    <r>
      <rPr>
        <b/>
        <sz val="10"/>
        <color theme="1"/>
        <rFont val="Arial"/>
        <family val="2"/>
      </rPr>
      <t>72.5 MW</t>
    </r>
    <r>
      <rPr>
        <sz val="10"/>
        <color theme="1"/>
        <rFont val="Arial"/>
        <family val="2"/>
      </rPr>
      <t xml:space="preserve"> of HPC hosting capacity at the Lake Mariner Facility.</t>
    </r>
  </si>
  <si>
    <t>Revenue recognition from this is expected in the second half of 2025.</t>
  </si>
  <si>
    <t>The April 2024 Bitcoin halving, which reduced the block reward from 6.25 to 3.125 bitcoin, has intensified competition and increased the importance of low-cost power and operational efficiency.</t>
  </si>
  <si>
    <t>Cost of energy per bitcoin mined</t>
  </si>
  <si>
    <t>Other direct costs of mining</t>
  </si>
  <si>
    <t>Value of each bitcoin mined</t>
  </si>
  <si>
    <t>Cost to mine one bitcoin % of value of bitcoin mined</t>
  </si>
  <si>
    <t>Cost to mine one bitcoin</t>
  </si>
  <si>
    <t>Lake Mariner Facility and net share of the Nautilus Cryptomine Facility</t>
  </si>
  <si>
    <t>Total bitcoin mined</t>
  </si>
  <si>
    <t>Total value of bitcoin mined ($ mn)</t>
  </si>
  <si>
    <t>Total MWhs utilized</t>
  </si>
  <si>
    <t>Cost per kWh</t>
  </si>
  <si>
    <t>Energy expense, net as % of value of bitcoin mined</t>
  </si>
  <si>
    <t>Total energy expense ($ mn)</t>
  </si>
  <si>
    <t>FV of bitcoin ($ mn)</t>
  </si>
  <si>
    <t>Lake Mariner Data</t>
  </si>
  <si>
    <t>7725 Lake Rd
14012 Barker
New York, USA</t>
  </si>
  <si>
    <r>
      <t xml:space="preserve">Projected Capacity: Will reach over </t>
    </r>
    <r>
      <rPr>
        <b/>
        <sz val="10"/>
        <color theme="1"/>
        <rFont val="Arial"/>
        <family val="2"/>
      </rPr>
      <t>500 MW</t>
    </r>
    <r>
      <rPr>
        <sz val="10"/>
        <color theme="1"/>
        <rFont val="Arial"/>
        <family val="2"/>
      </rPr>
      <t xml:space="preserve"> of demand once complete. The facility can also expand up to</t>
    </r>
    <r>
      <rPr>
        <b/>
        <sz val="10"/>
        <color theme="1"/>
        <rFont val="Arial"/>
        <family val="2"/>
      </rPr>
      <t xml:space="preserve"> 750 MW</t>
    </r>
    <r>
      <rPr>
        <sz val="10"/>
        <color theme="1"/>
        <rFont val="Arial"/>
        <family val="2"/>
      </rPr>
      <t xml:space="preserve"> with targeted transmission upgrades.</t>
    </r>
  </si>
  <si>
    <t>Local Impact: Creates over 200 local jobs by retraining and employing workers displaced by the transition from fossil fuels</t>
  </si>
  <si>
    <t>Energy Source: 91% zero-carbon energy, primarily hydro. The facility sources 100% of its power from the Zone A grid.</t>
  </si>
  <si>
    <r>
      <t xml:space="preserve">Current Operational Capacity: </t>
    </r>
    <r>
      <rPr>
        <b/>
        <sz val="10"/>
        <color theme="1"/>
        <rFont val="Arial"/>
        <family val="2"/>
      </rPr>
      <t>245 MW</t>
    </r>
  </si>
  <si>
    <t>Land Area: 157 acres</t>
  </si>
  <si>
    <t>Completion Timeline: Operations for the new CB-5 building (160 MW) are expected to commence in the second half of 2026. A 20 MW colocation pilot project (CB-1) was expected to be completed in Q1 2025.</t>
  </si>
  <si>
    <t>https://www.terawulf.com/wulf-compute</t>
  </si>
  <si>
    <t>https://www.datacentermap.com/usa/new-york/buffalo/lake-mariner-data/location/</t>
  </si>
  <si>
    <t>Current Ratio</t>
  </si>
  <si>
    <t>Debt-to-Equity</t>
  </si>
  <si>
    <t>Fixed Asset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</si>
</sst>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1B1C1D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5" fillId="0" borderId="0" xfId="1"/>
    <xf numFmtId="164" fontId="3" fillId="0" borderId="0" xfId="0" applyNumberFormat="1" applyFont="1"/>
    <xf numFmtId="164" fontId="4" fillId="0" borderId="0" xfId="0" applyNumberFormat="1" applyFont="1"/>
    <xf numFmtId="4" fontId="4" fillId="0" borderId="0" xfId="0" applyNumberFormat="1" applyFont="1"/>
    <xf numFmtId="10" fontId="3" fillId="0" borderId="0" xfId="0" applyNumberFormat="1" applyFont="1"/>
    <xf numFmtId="0" fontId="7" fillId="0" borderId="0" xfId="0" applyFont="1"/>
    <xf numFmtId="3" fontId="3" fillId="0" borderId="0" xfId="0" applyNumberFormat="1" applyFont="1"/>
    <xf numFmtId="3" fontId="4" fillId="0" borderId="0" xfId="0" applyNumberFormat="1" applyFont="1"/>
    <xf numFmtId="3" fontId="8" fillId="0" borderId="0" xfId="0" applyNumberFormat="1" applyFont="1"/>
    <xf numFmtId="165" fontId="3" fillId="0" borderId="0" xfId="0" applyNumberFormat="1" applyFont="1"/>
    <xf numFmtId="164" fontId="3" fillId="2" borderId="0" xfId="0" applyNumberFormat="1" applyFont="1" applyFill="1"/>
    <xf numFmtId="0" fontId="3" fillId="0" borderId="0" xfId="0" applyFont="1" applyAlignment="1">
      <alignment wrapText="1"/>
    </xf>
    <xf numFmtId="0" fontId="9" fillId="0" borderId="0" xfId="0" applyFont="1"/>
    <xf numFmtId="0" fontId="10" fillId="0" borderId="0" xfId="1" applyFont="1"/>
    <xf numFmtId="2" fontId="3" fillId="0" borderId="0" xfId="0" applyNumberFormat="1" applyFont="1"/>
    <xf numFmtId="2" fontId="2" fillId="0" borderId="0" xfId="0" applyNumberFormat="1" applyFont="1"/>
    <xf numFmtId="4" fontId="2" fillId="0" borderId="0" xfId="0" applyNumberFormat="1" applyFont="1"/>
    <xf numFmtId="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53340</xdr:rowOff>
    </xdr:from>
    <xdr:to>
      <xdr:col>8</xdr:col>
      <xdr:colOff>137851</xdr:colOff>
      <xdr:row>25</xdr:row>
      <xdr:rowOff>129902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B66B5F-117F-ABA2-84BA-C1562F914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97380"/>
          <a:ext cx="4953691" cy="259116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137160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AC9CC3C0-A8B7-D491-EC71-1448BFF22323}"/>
            </a:ext>
          </a:extLst>
        </xdr:cNvPr>
        <xdr:cNvSpPr>
          <a:spLocks noChangeAspect="1" noChangeArrowheads="1"/>
        </xdr:cNvSpPr>
      </xdr:nvSpPr>
      <xdr:spPr bwMode="auto">
        <a:xfrm>
          <a:off x="7254240" y="33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160020</xdr:colOff>
      <xdr:row>10</xdr:row>
      <xdr:rowOff>38100</xdr:rowOff>
    </xdr:from>
    <xdr:to>
      <xdr:col>11</xdr:col>
      <xdr:colOff>581866</xdr:colOff>
      <xdr:row>20</xdr:row>
      <xdr:rowOff>69303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0F1D08-87D4-BE06-FC06-253EE8612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5460" y="1882140"/>
          <a:ext cx="2250646" cy="1707603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571501</xdr:colOff>
      <xdr:row>10</xdr:row>
      <xdr:rowOff>22243</xdr:rowOff>
    </xdr:from>
    <xdr:to>
      <xdr:col>15</xdr:col>
      <xdr:colOff>364632</xdr:colOff>
      <xdr:row>20</xdr:row>
      <xdr:rowOff>60961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F27BB7-5797-10B7-D2D3-2375BFA5C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5741" y="1866283"/>
          <a:ext cx="2231531" cy="1715118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381000</xdr:colOff>
      <xdr:row>10</xdr:row>
      <xdr:rowOff>38100</xdr:rowOff>
    </xdr:from>
    <xdr:to>
      <xdr:col>19</xdr:col>
      <xdr:colOff>208480</xdr:colOff>
      <xdr:row>20</xdr:row>
      <xdr:rowOff>54058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13405D-D85A-49ED-742F-83421561F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73640" y="1882140"/>
          <a:ext cx="2265880" cy="1692358"/>
        </a:xfrm>
        <a:prstGeom prst="rect">
          <a:avLst/>
        </a:prstGeom>
      </xdr:spPr>
    </xdr:pic>
    <xdr:clientData/>
  </xdr:twoCellAnchor>
  <xdr:twoCellAnchor editAs="oneCell">
    <xdr:from>
      <xdr:col>8</xdr:col>
      <xdr:colOff>175261</xdr:colOff>
      <xdr:row>20</xdr:row>
      <xdr:rowOff>77208</xdr:rowOff>
    </xdr:from>
    <xdr:to>
      <xdr:col>12</xdr:col>
      <xdr:colOff>22861</xdr:colOff>
      <xdr:row>30</xdr:row>
      <xdr:rowOff>126451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4E0D8A-4869-4418-16A1-205D1A23B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00701" y="3612888"/>
          <a:ext cx="2286000" cy="1725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Data%20Centers.xlsx" TargetMode="External"/><Relationship Id="rId1" Type="http://schemas.openxmlformats.org/officeDocument/2006/relationships/externalLinkPath" Target="Data%20Cen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5">
          <cell r="D5">
            <v>14.16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datacentermap.com/usa/new-york/buffalo/lake-mariner-data/location/" TargetMode="External"/><Relationship Id="rId1" Type="http://schemas.openxmlformats.org/officeDocument/2006/relationships/hyperlink" Target="https://www.terawulf.com/wulf-compu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3"/>
  <sheetViews>
    <sheetView tabSelected="1" workbookViewId="0">
      <selection activeCell="J10" sqref="J10"/>
    </sheetView>
  </sheetViews>
  <sheetFormatPr defaultRowHeight="13.2" x14ac:dyDescent="0.25"/>
  <cols>
    <col min="1" max="16384" width="8.88671875" style="1"/>
  </cols>
  <sheetData>
    <row r="1" spans="2:13" x14ac:dyDescent="0.25">
      <c r="B1" s="7" t="s">
        <v>114</v>
      </c>
    </row>
    <row r="2" spans="2:13" x14ac:dyDescent="0.25">
      <c r="B2" s="1" t="s">
        <v>115</v>
      </c>
    </row>
    <row r="3" spans="2:13" x14ac:dyDescent="0.25">
      <c r="B3" s="1" t="s">
        <v>116</v>
      </c>
    </row>
    <row r="4" spans="2:13" x14ac:dyDescent="0.25">
      <c r="B4" s="1" t="s">
        <v>117</v>
      </c>
      <c r="M4" s="1" t="s">
        <v>7</v>
      </c>
    </row>
    <row r="6" spans="2:13" x14ac:dyDescent="0.25">
      <c r="B6" s="1" t="s">
        <v>118</v>
      </c>
    </row>
    <row r="7" spans="2:13" x14ac:dyDescent="0.25">
      <c r="B7" s="1" t="s">
        <v>119</v>
      </c>
    </row>
    <row r="8" spans="2:13" x14ac:dyDescent="0.25">
      <c r="B8" s="1" t="s">
        <v>120</v>
      </c>
    </row>
    <row r="9" spans="2:13" x14ac:dyDescent="0.25">
      <c r="B9" s="1" t="s">
        <v>121</v>
      </c>
      <c r="I9" s="1" t="s">
        <v>0</v>
      </c>
      <c r="J9" s="19">
        <f>+[1]Main!$D$5</f>
        <v>14.16</v>
      </c>
    </row>
    <row r="10" spans="2:13" x14ac:dyDescent="0.25">
      <c r="I10" s="1" t="s">
        <v>1</v>
      </c>
      <c r="J10" s="3">
        <f>+Model!K20</f>
        <v>386.89509500000003</v>
      </c>
    </row>
    <row r="11" spans="2:13" x14ac:dyDescent="0.25">
      <c r="B11" s="1" t="s">
        <v>122</v>
      </c>
      <c r="I11" s="1" t="s">
        <v>2</v>
      </c>
      <c r="J11" s="3">
        <f>+J9*J10</f>
        <v>5478.4345452000007</v>
      </c>
    </row>
    <row r="12" spans="2:13" x14ac:dyDescent="0.25">
      <c r="I12" s="1" t="s">
        <v>3</v>
      </c>
      <c r="J12" s="3">
        <f>+Model!K34</f>
        <v>89.992999999999995</v>
      </c>
    </row>
    <row r="13" spans="2:13" x14ac:dyDescent="0.25">
      <c r="I13" s="1" t="s">
        <v>4</v>
      </c>
      <c r="J13" s="3">
        <f>+Model!K61</f>
        <v>488.71600000000001</v>
      </c>
    </row>
    <row r="14" spans="2:13" x14ac:dyDescent="0.25">
      <c r="J14" s="3"/>
    </row>
    <row r="15" spans="2:13" x14ac:dyDescent="0.25">
      <c r="B15" s="7" t="s">
        <v>123</v>
      </c>
      <c r="I15" s="1" t="s">
        <v>5</v>
      </c>
      <c r="J15" s="3">
        <f>J11-J12+J13</f>
        <v>5877.1575452000006</v>
      </c>
    </row>
    <row r="16" spans="2:13" x14ac:dyDescent="0.25">
      <c r="B16" s="1" t="s">
        <v>124</v>
      </c>
    </row>
    <row r="17" spans="2:2" x14ac:dyDescent="0.25">
      <c r="B17" s="1" t="s">
        <v>125</v>
      </c>
    </row>
    <row r="19" spans="2:2" x14ac:dyDescent="0.25">
      <c r="B19" s="1" t="s">
        <v>126</v>
      </c>
    </row>
    <row r="20" spans="2:2" x14ac:dyDescent="0.25">
      <c r="B20" s="1" t="s">
        <v>127</v>
      </c>
    </row>
    <row r="21" spans="2:2" x14ac:dyDescent="0.25">
      <c r="B21" s="1" t="s">
        <v>128</v>
      </c>
    </row>
    <row r="23" spans="2:2" x14ac:dyDescent="0.25">
      <c r="B23" s="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B1E0-4002-41D9-9449-C49F7B82192D}">
  <dimension ref="A1:V142"/>
  <sheetViews>
    <sheetView workbookViewId="0">
      <pane xSplit="2" ySplit="2" topLeftCell="C44" activePane="bottomRight" state="frozen"/>
      <selection pane="topRight" activeCell="C1" sqref="C1"/>
      <selection pane="bottomLeft" activeCell="A3" sqref="A3"/>
      <selection pane="bottomRight" activeCell="K73" sqref="K73"/>
    </sheetView>
  </sheetViews>
  <sheetFormatPr defaultRowHeight="13.2" x14ac:dyDescent="0.25"/>
  <cols>
    <col min="1" max="1" width="8.88671875" style="1"/>
    <col min="2" max="2" width="17.6640625" style="1" customWidth="1"/>
    <col min="3" max="19" width="8.88671875" style="1"/>
    <col min="20" max="20" width="9.109375" style="1" bestFit="1" customWidth="1"/>
    <col min="21" max="16384" width="8.88671875" style="1"/>
  </cols>
  <sheetData>
    <row r="1" spans="1:22" ht="14.4" x14ac:dyDescent="0.3">
      <c r="A1" s="2" t="s">
        <v>6</v>
      </c>
    </row>
    <row r="2" spans="1:22" x14ac:dyDescent="0.25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7</v>
      </c>
      <c r="L2" s="1" t="s">
        <v>33</v>
      </c>
      <c r="M2" s="1" t="s">
        <v>34</v>
      </c>
      <c r="N2" s="1" t="s">
        <v>35</v>
      </c>
      <c r="O2" s="1" t="s">
        <v>36</v>
      </c>
      <c r="R2" s="1">
        <v>2022</v>
      </c>
      <c r="S2" s="1">
        <v>2023</v>
      </c>
      <c r="T2" s="1">
        <v>2024</v>
      </c>
      <c r="U2" s="1">
        <v>2025</v>
      </c>
      <c r="V2" s="1">
        <v>2026</v>
      </c>
    </row>
    <row r="3" spans="1:22" s="3" customFormat="1" x14ac:dyDescent="0.25">
      <c r="B3" s="3" t="s">
        <v>16</v>
      </c>
      <c r="D3" s="3">
        <v>18.954999999999998</v>
      </c>
      <c r="E3" s="3">
        <v>23.284999999999997</v>
      </c>
      <c r="F3" s="3">
        <v>42.433</v>
      </c>
      <c r="G3" s="3">
        <v>35.573999999999998</v>
      </c>
      <c r="H3" s="3">
        <v>27.059000000000001</v>
      </c>
      <c r="I3" s="3">
        <v>34.984000000000016</v>
      </c>
      <c r="J3" s="3">
        <v>34.4</v>
      </c>
      <c r="K3" s="3">
        <v>47.636000000000003</v>
      </c>
      <c r="R3" s="3">
        <v>15.032999999999999</v>
      </c>
      <c r="S3" s="3">
        <v>69.228999999999999</v>
      </c>
      <c r="T3" s="3">
        <v>140.05000000000001</v>
      </c>
      <c r="U3" s="3">
        <f>+J3+K3+L3+M3</f>
        <v>82.036000000000001</v>
      </c>
    </row>
    <row r="4" spans="1:22" s="3" customFormat="1" x14ac:dyDescent="0.25">
      <c r="B4" s="3" t="s">
        <v>17</v>
      </c>
      <c r="D4" s="3">
        <v>8.2680000000000007</v>
      </c>
      <c r="E4" s="3">
        <v>8.9320000000000022</v>
      </c>
      <c r="F4" s="3">
        <v>14.407999999999999</v>
      </c>
      <c r="G4" s="3">
        <v>13.917999999999999</v>
      </c>
      <c r="H4" s="3">
        <v>14.66</v>
      </c>
      <c r="I4" s="3">
        <v>19.613999999999997</v>
      </c>
      <c r="J4" s="3">
        <v>24.553000000000001</v>
      </c>
      <c r="K4" s="3">
        <v>22.094000000000001</v>
      </c>
      <c r="R4" s="3">
        <v>11.083</v>
      </c>
      <c r="S4" s="3">
        <v>27.315000000000001</v>
      </c>
      <c r="T4" s="3">
        <v>62.6</v>
      </c>
      <c r="U4" s="3">
        <f t="shared" ref="U4" si="0">+J4+K4+L4+M4</f>
        <v>46.647000000000006</v>
      </c>
    </row>
    <row r="5" spans="1:22" s="4" customFormat="1" x14ac:dyDescent="0.25">
      <c r="B5" s="4" t="s">
        <v>18</v>
      </c>
      <c r="D5" s="4">
        <f t="shared" ref="D5:J5" si="1">D3-D4</f>
        <v>10.686999999999998</v>
      </c>
      <c r="E5" s="4">
        <f t="shared" si="1"/>
        <v>14.352999999999994</v>
      </c>
      <c r="F5" s="4">
        <f t="shared" si="1"/>
        <v>28.024999999999999</v>
      </c>
      <c r="G5" s="4">
        <f t="shared" si="1"/>
        <v>21.655999999999999</v>
      </c>
      <c r="H5" s="4">
        <f t="shared" si="1"/>
        <v>12.399000000000001</v>
      </c>
      <c r="I5" s="4">
        <f t="shared" si="1"/>
        <v>15.370000000000019</v>
      </c>
      <c r="J5" s="4">
        <f t="shared" si="1"/>
        <v>9.8469999999999978</v>
      </c>
      <c r="K5" s="4">
        <f>K3-K4</f>
        <v>25.542000000000002</v>
      </c>
      <c r="L5" s="4">
        <f t="shared" ref="L5:O5" si="2">L3-L4</f>
        <v>0</v>
      </c>
      <c r="M5" s="4">
        <f t="shared" si="2"/>
        <v>0</v>
      </c>
      <c r="N5" s="4">
        <f t="shared" si="2"/>
        <v>0</v>
      </c>
      <c r="O5" s="4">
        <f t="shared" si="2"/>
        <v>0</v>
      </c>
      <c r="P5" s="3"/>
      <c r="Q5" s="3"/>
      <c r="R5" s="4">
        <f t="shared" ref="R5" si="3">R3-R4</f>
        <v>3.9499999999999993</v>
      </c>
      <c r="S5" s="4">
        <f t="shared" ref="S5" si="4">S3-S4</f>
        <v>41.914000000000001</v>
      </c>
      <c r="T5" s="4">
        <f t="shared" ref="T5" si="5">T3-T4</f>
        <v>77.450000000000017</v>
      </c>
      <c r="U5" s="4">
        <f t="shared" ref="U5" si="6">U3-U4</f>
        <v>35.388999999999996</v>
      </c>
      <c r="V5" s="4">
        <f t="shared" ref="V5" si="7">V3-V4</f>
        <v>0</v>
      </c>
    </row>
    <row r="6" spans="1:22" s="3" customFormat="1" x14ac:dyDescent="0.25">
      <c r="B6" s="3" t="s">
        <v>19</v>
      </c>
      <c r="D6" s="3">
        <f>0.442+0.779</f>
        <v>1.2210000000000001</v>
      </c>
      <c r="E6" s="3">
        <v>1.6560000000000001</v>
      </c>
      <c r="F6" s="3">
        <v>0.78500000000000003</v>
      </c>
      <c r="G6" s="3">
        <f>0.979+0.875</f>
        <v>1.8540000000000001</v>
      </c>
      <c r="H6" s="3">
        <f>0.729+0.856</f>
        <v>1.585</v>
      </c>
      <c r="I6" s="3">
        <v>3.4249999999999989</v>
      </c>
      <c r="J6" s="3">
        <v>1.1439999999999999</v>
      </c>
      <c r="K6" s="3">
        <f>2.039+1.475</f>
        <v>3.5140000000000002</v>
      </c>
      <c r="R6" s="3">
        <f>2.038+1.248</f>
        <v>3.2859999999999996</v>
      </c>
      <c r="S6" s="3">
        <f>2.116+2.773</f>
        <v>4.8890000000000002</v>
      </c>
      <c r="T6" s="3">
        <f>3.387+4.262</f>
        <v>7.6489999999999991</v>
      </c>
      <c r="U6" s="3">
        <f t="shared" ref="U6:U11" si="8">+J6+K6+L6+M6</f>
        <v>4.6580000000000004</v>
      </c>
    </row>
    <row r="7" spans="1:22" s="3" customFormat="1" x14ac:dyDescent="0.25">
      <c r="B7" s="3" t="s">
        <v>20</v>
      </c>
      <c r="D7" s="3">
        <f>5.767+4.519</f>
        <v>10.286000000000001</v>
      </c>
      <c r="E7" s="3">
        <v>8.7880000000000003</v>
      </c>
      <c r="F7" s="3">
        <v>0.88800000000000001</v>
      </c>
      <c r="G7" s="3">
        <f>9.113+2.803</f>
        <v>11.916</v>
      </c>
      <c r="H7" s="3">
        <f>8.5+2.976</f>
        <v>11.475999999999999</v>
      </c>
      <c r="I7" s="3">
        <v>46.298000000000009</v>
      </c>
      <c r="J7" s="3">
        <v>1.748</v>
      </c>
      <c r="K7" s="3">
        <f>9.996+4.292</f>
        <v>14.288</v>
      </c>
      <c r="R7" s="3">
        <f>22.77+13.28</f>
        <v>36.049999999999997</v>
      </c>
      <c r="S7" s="3">
        <f>23.693+13.325</f>
        <v>37.018000000000001</v>
      </c>
      <c r="T7" s="3">
        <f>57.883+12.695</f>
        <v>70.578000000000003</v>
      </c>
      <c r="U7" s="3">
        <f t="shared" si="8"/>
        <v>16.036000000000001</v>
      </c>
    </row>
    <row r="8" spans="1:22" s="3" customFormat="1" x14ac:dyDescent="0.25">
      <c r="B8" s="3" t="s">
        <v>4</v>
      </c>
      <c r="D8" s="3">
        <v>8.2240000000000002</v>
      </c>
      <c r="E8" s="3">
        <v>8.2650000000000006</v>
      </c>
      <c r="F8" s="3">
        <v>12.289</v>
      </c>
      <c r="G8" s="3">
        <v>14.132999999999999</v>
      </c>
      <c r="H8" s="3">
        <v>15.643000000000001</v>
      </c>
      <c r="I8" s="3">
        <v>17.734999999999999</v>
      </c>
      <c r="J8" s="3">
        <v>46.573</v>
      </c>
      <c r="K8" s="3">
        <v>18.786000000000001</v>
      </c>
      <c r="R8" s="3">
        <v>6.6669999999999998</v>
      </c>
      <c r="S8" s="3">
        <v>28.35</v>
      </c>
      <c r="T8" s="3">
        <v>59.8</v>
      </c>
      <c r="U8" s="3">
        <f t="shared" si="8"/>
        <v>65.359000000000009</v>
      </c>
    </row>
    <row r="9" spans="1:22" s="3" customFormat="1" x14ac:dyDescent="0.25">
      <c r="B9" s="3" t="s">
        <v>22</v>
      </c>
      <c r="D9" s="3">
        <f>-0.697+0.922</f>
        <v>0.22500000000000009</v>
      </c>
      <c r="E9" s="3">
        <v>-0.47899999999999965</v>
      </c>
      <c r="F9" s="3">
        <v>2.62</v>
      </c>
      <c r="G9" s="3">
        <v>0.7</v>
      </c>
      <c r="H9" s="3">
        <v>-0.95399999999999996</v>
      </c>
      <c r="I9" s="3">
        <v>-4.5660000000000007</v>
      </c>
      <c r="J9" s="3">
        <v>3.5710000000000002</v>
      </c>
      <c r="K9" s="3">
        <v>-0.88700000000000001</v>
      </c>
      <c r="R9" s="3">
        <f>-0.569+1.457</f>
        <v>0.88800000000000012</v>
      </c>
      <c r="S9" s="3">
        <f>-3.174+3.043</f>
        <v>-0.13099999999999978</v>
      </c>
      <c r="T9" s="3">
        <v>-2.2000000000000002</v>
      </c>
      <c r="U9" s="3">
        <f t="shared" si="8"/>
        <v>2.6840000000000002</v>
      </c>
    </row>
    <row r="10" spans="1:22" s="3" customFormat="1" x14ac:dyDescent="0.25">
      <c r="B10" s="3" t="s">
        <v>21</v>
      </c>
      <c r="F10" s="3">
        <v>15.087999999999999</v>
      </c>
      <c r="I10" s="3">
        <v>-15.087999999999999</v>
      </c>
      <c r="J10" s="3">
        <v>15.574</v>
      </c>
      <c r="K10" s="3">
        <v>1.6</v>
      </c>
      <c r="U10" s="3">
        <f t="shared" si="8"/>
        <v>17.173999999999999</v>
      </c>
    </row>
    <row r="11" spans="1:22" s="3" customFormat="1" x14ac:dyDescent="0.25">
      <c r="B11" s="3" t="s">
        <v>23</v>
      </c>
      <c r="D11" s="3">
        <v>0.42</v>
      </c>
      <c r="E11" s="3">
        <v>0.78</v>
      </c>
      <c r="F11" s="3">
        <v>-1.329</v>
      </c>
      <c r="H11" s="3">
        <v>0.35499999999999998</v>
      </c>
      <c r="I11" s="3">
        <v>18.798000000000002</v>
      </c>
      <c r="J11" s="3">
        <v>0.87</v>
      </c>
      <c r="K11" s="3">
        <v>3.831</v>
      </c>
      <c r="R11" s="3">
        <v>0.80400000000000005</v>
      </c>
      <c r="S11" s="3">
        <v>1.2</v>
      </c>
      <c r="T11" s="3">
        <v>17.824000000000002</v>
      </c>
      <c r="U11" s="3">
        <f t="shared" si="8"/>
        <v>4.7009999999999996</v>
      </c>
    </row>
    <row r="12" spans="1:22" s="4" customFormat="1" x14ac:dyDescent="0.25">
      <c r="B12" s="4" t="s">
        <v>19</v>
      </c>
      <c r="D12" s="4">
        <f t="shared" ref="D12:J12" si="9">SUM(D6:D11)</f>
        <v>20.376000000000005</v>
      </c>
      <c r="E12" s="4">
        <f t="shared" si="9"/>
        <v>19.010000000000005</v>
      </c>
      <c r="F12" s="4">
        <f t="shared" si="9"/>
        <v>30.341000000000001</v>
      </c>
      <c r="G12" s="4">
        <f t="shared" si="9"/>
        <v>28.602999999999998</v>
      </c>
      <c r="H12" s="4">
        <f t="shared" si="9"/>
        <v>28.105</v>
      </c>
      <c r="I12" s="4">
        <f t="shared" si="9"/>
        <v>66.602000000000004</v>
      </c>
      <c r="J12" s="4">
        <f t="shared" si="9"/>
        <v>69.48</v>
      </c>
      <c r="K12" s="4">
        <f>SUM(K6:K11)</f>
        <v>41.132000000000005</v>
      </c>
      <c r="L12" s="4">
        <f t="shared" ref="L12:O12" si="10">SUM(L6:L11)</f>
        <v>0</v>
      </c>
      <c r="M12" s="4">
        <f t="shared" si="10"/>
        <v>0</v>
      </c>
      <c r="N12" s="4">
        <f t="shared" si="10"/>
        <v>0</v>
      </c>
      <c r="O12" s="4">
        <f t="shared" si="10"/>
        <v>0</v>
      </c>
      <c r="P12" s="3"/>
      <c r="Q12" s="3"/>
      <c r="R12" s="4">
        <f t="shared" ref="R12" si="11">SUM(R6:R11)</f>
        <v>47.695</v>
      </c>
      <c r="S12" s="4">
        <f t="shared" ref="S12" si="12">SUM(S6:S11)</f>
        <v>71.326000000000008</v>
      </c>
      <c r="T12" s="4">
        <f t="shared" ref="T12" si="13">SUM(T6:T11)</f>
        <v>153.65100000000001</v>
      </c>
      <c r="U12" s="4">
        <f t="shared" ref="U12" si="14">SUM(U6:U11)</f>
        <v>110.61199999999999</v>
      </c>
      <c r="V12" s="4">
        <f t="shared" ref="V12" si="15">SUM(V6:V11)</f>
        <v>0</v>
      </c>
    </row>
    <row r="13" spans="1:22" s="4" customFormat="1" x14ac:dyDescent="0.25">
      <c r="B13" s="4" t="s">
        <v>24</v>
      </c>
      <c r="D13" s="4">
        <f t="shared" ref="D13:J13" si="16">D5-D12</f>
        <v>-9.6890000000000072</v>
      </c>
      <c r="E13" s="4">
        <f t="shared" si="16"/>
        <v>-4.6570000000000107</v>
      </c>
      <c r="F13" s="4">
        <f t="shared" si="16"/>
        <v>-2.3160000000000025</v>
      </c>
      <c r="G13" s="4">
        <f t="shared" si="16"/>
        <v>-6.9469999999999992</v>
      </c>
      <c r="H13" s="4">
        <f t="shared" si="16"/>
        <v>-15.706</v>
      </c>
      <c r="I13" s="4">
        <f t="shared" si="16"/>
        <v>-51.231999999999985</v>
      </c>
      <c r="J13" s="4">
        <f t="shared" si="16"/>
        <v>-59.63300000000001</v>
      </c>
      <c r="K13" s="4">
        <f>K5-K12</f>
        <v>-15.590000000000003</v>
      </c>
      <c r="L13" s="4">
        <f t="shared" ref="L13:O13" si="17">L5-L12</f>
        <v>0</v>
      </c>
      <c r="M13" s="4">
        <f t="shared" si="17"/>
        <v>0</v>
      </c>
      <c r="N13" s="4">
        <f t="shared" si="17"/>
        <v>0</v>
      </c>
      <c r="O13" s="4">
        <f t="shared" si="17"/>
        <v>0</v>
      </c>
      <c r="P13" s="3"/>
      <c r="Q13" s="3"/>
      <c r="R13" s="4">
        <f t="shared" ref="R13" si="18">R5-R12</f>
        <v>-43.745000000000005</v>
      </c>
      <c r="S13" s="4">
        <f t="shared" ref="S13" si="19">S5-S12</f>
        <v>-29.412000000000006</v>
      </c>
      <c r="T13" s="4">
        <f t="shared" ref="T13" si="20">T5-T12</f>
        <v>-76.200999999999993</v>
      </c>
      <c r="U13" s="4">
        <f t="shared" ref="U13" si="21">U5-U12</f>
        <v>-75.222999999999999</v>
      </c>
      <c r="V13" s="4">
        <f t="shared" ref="V13" si="22">V5-V12</f>
        <v>0</v>
      </c>
    </row>
    <row r="14" spans="1:22" s="3" customFormat="1" x14ac:dyDescent="0.25">
      <c r="B14" s="3" t="s">
        <v>25</v>
      </c>
      <c r="D14" s="3">
        <v>-10.250999999999999</v>
      </c>
      <c r="E14" s="3">
        <v>-9.2769999999999975</v>
      </c>
      <c r="F14" s="3">
        <v>-11.045</v>
      </c>
      <c r="G14" s="3">
        <v>-5.3250000000000002</v>
      </c>
      <c r="H14" s="3">
        <v>-0.40899999999999997</v>
      </c>
      <c r="I14" s="3">
        <v>-3.0150000000000023</v>
      </c>
      <c r="J14" s="3">
        <v>-4.0490000000000004</v>
      </c>
      <c r="K14" s="3">
        <v>-4.0119999999999996</v>
      </c>
      <c r="R14" s="3">
        <v>-24.678999999999998</v>
      </c>
      <c r="S14" s="3">
        <v>-34.811999999999998</v>
      </c>
      <c r="T14" s="3">
        <v>-19.794</v>
      </c>
      <c r="U14" s="3">
        <f t="shared" ref="U14:U16" si="23">+J14+K14+L14+M14</f>
        <v>-8.0609999999999999</v>
      </c>
    </row>
    <row r="15" spans="1:22" s="3" customFormat="1" x14ac:dyDescent="0.25">
      <c r="B15" s="3" t="s">
        <v>26</v>
      </c>
      <c r="F15" s="3">
        <v>-2.0270000000000001</v>
      </c>
      <c r="H15" s="3">
        <v>-4.2729999999999997</v>
      </c>
      <c r="R15" s="3">
        <v>-2.0539999999999998</v>
      </c>
      <c r="T15" s="3">
        <v>-6.3</v>
      </c>
      <c r="U15" s="3">
        <f t="shared" si="23"/>
        <v>0</v>
      </c>
    </row>
    <row r="16" spans="1:22" s="3" customFormat="1" x14ac:dyDescent="0.25">
      <c r="B16" s="3" t="s">
        <v>27</v>
      </c>
      <c r="D16" s="3">
        <v>5.8999999999999997E-2</v>
      </c>
      <c r="E16" s="3">
        <v>0.11800000000000001</v>
      </c>
      <c r="F16" s="3">
        <v>0.5</v>
      </c>
      <c r="G16" s="3">
        <v>0.44700000000000001</v>
      </c>
      <c r="H16" s="3">
        <v>0.33900000000000002</v>
      </c>
      <c r="I16" s="3">
        <v>2.641</v>
      </c>
      <c r="J16" s="3">
        <v>2.2589999999999999</v>
      </c>
      <c r="K16" s="3">
        <v>1.232</v>
      </c>
      <c r="R16" s="3">
        <v>-4.8570000000000002</v>
      </c>
      <c r="S16" s="3">
        <v>0.23100000000000001</v>
      </c>
      <c r="T16" s="3">
        <v>3.927</v>
      </c>
      <c r="U16" s="3">
        <f t="shared" si="23"/>
        <v>3.4909999999999997</v>
      </c>
    </row>
    <row r="17" spans="2:22" s="4" customFormat="1" x14ac:dyDescent="0.25">
      <c r="B17" s="4" t="s">
        <v>28</v>
      </c>
      <c r="D17" s="4">
        <f t="shared" ref="D17:J17" si="24">D13+D14+D15+D16</f>
        <v>-19.881000000000004</v>
      </c>
      <c r="E17" s="4">
        <f t="shared" si="24"/>
        <v>-13.816000000000008</v>
      </c>
      <c r="F17" s="4">
        <f t="shared" si="24"/>
        <v>-14.888000000000002</v>
      </c>
      <c r="G17" s="4">
        <f t="shared" si="24"/>
        <v>-11.824999999999999</v>
      </c>
      <c r="H17" s="4">
        <f t="shared" si="24"/>
        <v>-20.048999999999999</v>
      </c>
      <c r="I17" s="4">
        <f t="shared" si="24"/>
        <v>-51.605999999999987</v>
      </c>
      <c r="J17" s="4">
        <f t="shared" si="24"/>
        <v>-61.423000000000009</v>
      </c>
      <c r="K17" s="4">
        <f>K13+K14+K15+K16</f>
        <v>-18.370000000000005</v>
      </c>
      <c r="L17" s="4">
        <f t="shared" ref="L17:O17" si="25">L13+L14+L15+L16</f>
        <v>0</v>
      </c>
      <c r="M17" s="4">
        <f t="shared" si="25"/>
        <v>0</v>
      </c>
      <c r="N17" s="4">
        <f t="shared" si="25"/>
        <v>0</v>
      </c>
      <c r="O17" s="4">
        <f t="shared" si="25"/>
        <v>0</v>
      </c>
      <c r="P17" s="3"/>
      <c r="Q17" s="3"/>
      <c r="R17" s="4">
        <f t="shared" ref="R17" si="26">R13+R14+R15+R16</f>
        <v>-75.335000000000008</v>
      </c>
      <c r="S17" s="4">
        <f t="shared" ref="S17" si="27">S13+S14+S15+S16</f>
        <v>-63.993000000000002</v>
      </c>
      <c r="T17" s="4">
        <f t="shared" ref="T17" si="28">T13+T14+T15+T16</f>
        <v>-98.367999999999981</v>
      </c>
      <c r="U17" s="4">
        <f t="shared" ref="U17" si="29">U13+U14+U15+U16</f>
        <v>-79.792999999999992</v>
      </c>
      <c r="V17" s="4">
        <f t="shared" ref="V17" si="30">V13+V14+V15+V16</f>
        <v>0</v>
      </c>
    </row>
    <row r="18" spans="2:22" s="3" customFormat="1" x14ac:dyDescent="0.25">
      <c r="B18" s="3" t="s">
        <v>29</v>
      </c>
      <c r="D18" s="3">
        <v>0.85</v>
      </c>
      <c r="E18" s="3">
        <v>3.1940000000000008</v>
      </c>
      <c r="F18" s="3">
        <v>5.2750000000000004</v>
      </c>
      <c r="G18" s="3">
        <v>0.76700000000000002</v>
      </c>
      <c r="H18" s="3">
        <v>-2.6789999999999998</v>
      </c>
      <c r="I18" s="3">
        <v>22.601999999999997</v>
      </c>
      <c r="R18" s="3">
        <f>0.256-15.712</f>
        <v>-15.456</v>
      </c>
      <c r="S18" s="3">
        <f>-9.29-0.129</f>
        <v>-9.4189999999999987</v>
      </c>
      <c r="T18" s="3">
        <f>3.363+22.602</f>
        <v>25.965</v>
      </c>
      <c r="U18" s="3">
        <f>+J18+K18+L18+M18</f>
        <v>0</v>
      </c>
    </row>
    <row r="19" spans="2:22" s="4" customFormat="1" x14ac:dyDescent="0.25">
      <c r="B19" s="4" t="s">
        <v>30</v>
      </c>
      <c r="D19" s="4">
        <f t="shared" ref="D19:J19" si="31">D17+D18</f>
        <v>-19.031000000000002</v>
      </c>
      <c r="E19" s="4">
        <f t="shared" si="31"/>
        <v>-10.622000000000007</v>
      </c>
      <c r="F19" s="4">
        <f t="shared" si="31"/>
        <v>-9.6130000000000013</v>
      </c>
      <c r="G19" s="4">
        <f t="shared" si="31"/>
        <v>-11.058</v>
      </c>
      <c r="H19" s="4">
        <f t="shared" si="31"/>
        <v>-22.727999999999998</v>
      </c>
      <c r="I19" s="4">
        <f t="shared" si="31"/>
        <v>-29.003999999999991</v>
      </c>
      <c r="J19" s="4">
        <f t="shared" si="31"/>
        <v>-61.423000000000009</v>
      </c>
      <c r="K19" s="4">
        <f>K17+K18</f>
        <v>-18.370000000000005</v>
      </c>
      <c r="L19" s="4">
        <f t="shared" ref="L19:O19" si="32">L17+L18</f>
        <v>0</v>
      </c>
      <c r="M19" s="4">
        <f t="shared" si="32"/>
        <v>0</v>
      </c>
      <c r="N19" s="4">
        <f t="shared" si="32"/>
        <v>0</v>
      </c>
      <c r="O19" s="4">
        <f t="shared" si="32"/>
        <v>0</v>
      </c>
      <c r="P19" s="3"/>
      <c r="R19" s="4">
        <f t="shared" ref="R19" si="33">R17+R18</f>
        <v>-90.791000000000011</v>
      </c>
      <c r="S19" s="4">
        <f t="shared" ref="S19" si="34">S17+S18</f>
        <v>-73.412000000000006</v>
      </c>
      <c r="T19" s="4">
        <f t="shared" ref="T19" si="35">T17+T18</f>
        <v>-72.402999999999977</v>
      </c>
      <c r="U19" s="4">
        <f t="shared" ref="U19" si="36">U17+U18</f>
        <v>-79.792999999999992</v>
      </c>
      <c r="V19" s="4">
        <f t="shared" ref="V19" si="37">V17+V18</f>
        <v>0</v>
      </c>
    </row>
    <row r="20" spans="2:22" s="3" customFormat="1" x14ac:dyDescent="0.25">
      <c r="B20" s="3" t="s">
        <v>31</v>
      </c>
      <c r="D20" s="3">
        <v>221.718367</v>
      </c>
      <c r="E20" s="3">
        <v>209.95639199999999</v>
      </c>
      <c r="F20" s="3">
        <v>290.60272500000002</v>
      </c>
      <c r="G20" s="3">
        <v>340.662826</v>
      </c>
      <c r="H20" s="3">
        <v>382.08676800000001</v>
      </c>
      <c r="I20" s="3">
        <v>351.31547599999999</v>
      </c>
      <c r="J20" s="3">
        <v>383.14951100000002</v>
      </c>
      <c r="K20" s="3">
        <v>386.89509500000003</v>
      </c>
      <c r="R20" s="3">
        <v>110.638792</v>
      </c>
      <c r="S20" s="3">
        <v>209.95639199999999</v>
      </c>
      <c r="T20" s="3">
        <v>351.31547599999999</v>
      </c>
    </row>
    <row r="21" spans="2:22" s="5" customFormat="1" x14ac:dyDescent="0.25">
      <c r="B21" s="5" t="s">
        <v>32</v>
      </c>
      <c r="D21" s="5">
        <f t="shared" ref="D21:J21" si="38">D19/D20</f>
        <v>-8.5834115853830023E-2</v>
      </c>
      <c r="E21" s="5">
        <f t="shared" si="38"/>
        <v>-5.0591458058585836E-2</v>
      </c>
      <c r="F21" s="5">
        <f t="shared" si="38"/>
        <v>-3.3079524632812718E-2</v>
      </c>
      <c r="G21" s="5">
        <f t="shared" si="38"/>
        <v>-3.2460248539122966E-2</v>
      </c>
      <c r="H21" s="5">
        <f t="shared" si="38"/>
        <v>-5.9483870951532132E-2</v>
      </c>
      <c r="I21" s="5">
        <f t="shared" si="38"/>
        <v>-8.255827591267284E-2</v>
      </c>
      <c r="J21" s="5">
        <f t="shared" si="38"/>
        <v>-0.16031078792111522</v>
      </c>
      <c r="K21" s="5">
        <f>K19/K20</f>
        <v>-4.7480570928406324E-2</v>
      </c>
      <c r="L21" s="5" t="e">
        <f t="shared" ref="L21:O21" si="39">L19/L20</f>
        <v>#DIV/0!</v>
      </c>
      <c r="M21" s="5" t="e">
        <f t="shared" si="39"/>
        <v>#DIV/0!</v>
      </c>
      <c r="N21" s="5" t="e">
        <f t="shared" si="39"/>
        <v>#DIV/0!</v>
      </c>
      <c r="O21" s="5" t="e">
        <f t="shared" si="39"/>
        <v>#DIV/0!</v>
      </c>
      <c r="R21" s="5">
        <f t="shared" ref="R21" si="40">R19/R20</f>
        <v>-0.82060729658002785</v>
      </c>
      <c r="S21" s="5">
        <f t="shared" ref="S21" si="41">S19/S20</f>
        <v>-0.34965356044030327</v>
      </c>
      <c r="T21" s="5">
        <f t="shared" ref="T21" si="42">T19/T20</f>
        <v>-0.20609112022152984</v>
      </c>
      <c r="U21" s="5" t="e">
        <f t="shared" ref="U21" si="43">U19/U20</f>
        <v>#DIV/0!</v>
      </c>
      <c r="V21" s="5" t="e">
        <f t="shared" ref="V21" si="44">V19/V20</f>
        <v>#DIV/0!</v>
      </c>
    </row>
    <row r="23" spans="2:22" s="6" customFormat="1" x14ac:dyDescent="0.25">
      <c r="B23" s="6" t="s">
        <v>37</v>
      </c>
      <c r="D23" s="6">
        <f t="shared" ref="D23:J23" si="45">D5/D3</f>
        <v>0.56380902136639399</v>
      </c>
      <c r="E23" s="6">
        <f t="shared" si="45"/>
        <v>0.61640541120893266</v>
      </c>
      <c r="F23" s="6">
        <f t="shared" si="45"/>
        <v>0.6604529493554544</v>
      </c>
      <c r="G23" s="6">
        <f t="shared" si="45"/>
        <v>0.60875920616180357</v>
      </c>
      <c r="H23" s="6">
        <f t="shared" si="45"/>
        <v>0.45822092464614361</v>
      </c>
      <c r="I23" s="6">
        <f t="shared" si="45"/>
        <v>0.43934369997713274</v>
      </c>
      <c r="J23" s="6">
        <f t="shared" si="45"/>
        <v>0.28624999999999995</v>
      </c>
      <c r="K23" s="6">
        <f>K5/K3</f>
        <v>0.53619111596271729</v>
      </c>
      <c r="L23" s="6" t="e">
        <f t="shared" ref="L23:O23" si="46">L5/L3</f>
        <v>#DIV/0!</v>
      </c>
      <c r="M23" s="6" t="e">
        <f t="shared" si="46"/>
        <v>#DIV/0!</v>
      </c>
      <c r="N23" s="6" t="e">
        <f t="shared" si="46"/>
        <v>#DIV/0!</v>
      </c>
      <c r="O23" s="6" t="e">
        <f t="shared" si="46"/>
        <v>#DIV/0!</v>
      </c>
      <c r="R23" s="6">
        <f t="shared" ref="R23:V23" si="47">R5/R3</f>
        <v>0.26275527173551516</v>
      </c>
      <c r="S23" s="6">
        <f t="shared" si="47"/>
        <v>0.60543991679787379</v>
      </c>
      <c r="T23" s="6">
        <f t="shared" si="47"/>
        <v>0.55301677972152807</v>
      </c>
      <c r="U23" s="6">
        <f t="shared" si="47"/>
        <v>0.43138378272953332</v>
      </c>
      <c r="V23" s="6" t="e">
        <f t="shared" si="47"/>
        <v>#DIV/0!</v>
      </c>
    </row>
    <row r="24" spans="2:22" s="6" customFormat="1" x14ac:dyDescent="0.25">
      <c r="B24" s="6" t="s">
        <v>38</v>
      </c>
      <c r="D24" s="6">
        <f t="shared" ref="D24:J24" si="48">D13/D3</f>
        <v>-0.51115800580321857</v>
      </c>
      <c r="E24" s="6">
        <f t="shared" si="48"/>
        <v>-0.20000000000000048</v>
      </c>
      <c r="F24" s="6">
        <f t="shared" si="48"/>
        <v>-5.458016166662745E-2</v>
      </c>
      <c r="G24" s="6">
        <f t="shared" si="48"/>
        <v>-0.19528307190644853</v>
      </c>
      <c r="H24" s="6">
        <f t="shared" si="48"/>
        <v>-0.58043534498688043</v>
      </c>
      <c r="I24" s="6">
        <f t="shared" si="48"/>
        <v>-1.4644408872627477</v>
      </c>
      <c r="J24" s="6">
        <f t="shared" si="48"/>
        <v>-1.7335174418604655</v>
      </c>
      <c r="K24" s="6">
        <f>K13/K3</f>
        <v>-0.32727349063733319</v>
      </c>
      <c r="L24" s="6" t="e">
        <f t="shared" ref="L24:O24" si="49">L13/L3</f>
        <v>#DIV/0!</v>
      </c>
      <c r="M24" s="6" t="e">
        <f t="shared" si="49"/>
        <v>#DIV/0!</v>
      </c>
      <c r="N24" s="6" t="e">
        <f t="shared" si="49"/>
        <v>#DIV/0!</v>
      </c>
      <c r="O24" s="6" t="e">
        <f t="shared" si="49"/>
        <v>#DIV/0!</v>
      </c>
      <c r="R24" s="6">
        <f t="shared" ref="R24:V24" si="50">R13/R3</f>
        <v>-2.9099314840683834</v>
      </c>
      <c r="S24" s="6">
        <f t="shared" si="50"/>
        <v>-0.42485085729968664</v>
      </c>
      <c r="T24" s="6">
        <f t="shared" si="50"/>
        <v>-0.54409853623705806</v>
      </c>
      <c r="U24" s="6">
        <f t="shared" si="50"/>
        <v>-0.91695109464137692</v>
      </c>
      <c r="V24" s="6" t="e">
        <f t="shared" si="50"/>
        <v>#DIV/0!</v>
      </c>
    </row>
    <row r="25" spans="2:22" s="6" customFormat="1" x14ac:dyDescent="0.25">
      <c r="B25" s="6" t="s">
        <v>39</v>
      </c>
      <c r="D25" s="6">
        <f t="shared" ref="D25:J25" si="51">D18/D17</f>
        <v>-4.2754388612242837E-2</v>
      </c>
      <c r="E25" s="6">
        <f t="shared" si="51"/>
        <v>-0.23118123914302252</v>
      </c>
      <c r="F25" s="6">
        <f t="shared" si="51"/>
        <v>-0.35431219774314882</v>
      </c>
      <c r="G25" s="6">
        <f t="shared" si="51"/>
        <v>-6.4862579281183941E-2</v>
      </c>
      <c r="H25" s="6">
        <f t="shared" si="51"/>
        <v>0.13362262456980398</v>
      </c>
      <c r="I25" s="6">
        <f t="shared" si="51"/>
        <v>-0.43797232879897691</v>
      </c>
      <c r="J25" s="6">
        <f t="shared" si="51"/>
        <v>0</v>
      </c>
      <c r="K25" s="6">
        <f>K18/K17</f>
        <v>0</v>
      </c>
      <c r="L25" s="6" t="e">
        <f t="shared" ref="L25:O25" si="52">L18/L17</f>
        <v>#DIV/0!</v>
      </c>
      <c r="M25" s="6" t="e">
        <f t="shared" si="52"/>
        <v>#DIV/0!</v>
      </c>
      <c r="N25" s="6" t="e">
        <f t="shared" si="52"/>
        <v>#DIV/0!</v>
      </c>
      <c r="O25" s="6" t="e">
        <f t="shared" si="52"/>
        <v>#DIV/0!</v>
      </c>
      <c r="R25" s="6">
        <f t="shared" ref="R25:V25" si="53">R18/R17</f>
        <v>0.20516360257516425</v>
      </c>
      <c r="S25" s="6">
        <f t="shared" si="53"/>
        <v>0.14718797368462172</v>
      </c>
      <c r="T25" s="6">
        <f t="shared" si="53"/>
        <v>-0.26395779115159407</v>
      </c>
      <c r="U25" s="6">
        <f t="shared" si="53"/>
        <v>0</v>
      </c>
      <c r="V25" s="6" t="e">
        <f t="shared" si="53"/>
        <v>#DIV/0!</v>
      </c>
    </row>
    <row r="26" spans="2:22" s="6" customFormat="1" x14ac:dyDescent="0.25">
      <c r="B26" s="6" t="s">
        <v>40</v>
      </c>
      <c r="D26" s="6">
        <f t="shared" ref="D26:J26" si="54">D19/D3</f>
        <v>-1.0040094961751518</v>
      </c>
      <c r="E26" s="6">
        <f t="shared" si="54"/>
        <v>-0.45617350225467074</v>
      </c>
      <c r="F26" s="6">
        <f t="shared" si="54"/>
        <v>-0.22654537741851863</v>
      </c>
      <c r="G26" s="6">
        <f t="shared" si="54"/>
        <v>-0.31084499915668751</v>
      </c>
      <c r="H26" s="6">
        <f t="shared" si="54"/>
        <v>-0.83994234820207681</v>
      </c>
      <c r="I26" s="6">
        <f t="shared" si="54"/>
        <v>-0.82906471529842152</v>
      </c>
      <c r="J26" s="6">
        <f t="shared" si="54"/>
        <v>-1.7855523255813956</v>
      </c>
      <c r="K26" s="6">
        <f>K19/K3</f>
        <v>-0.38563271475354782</v>
      </c>
      <c r="L26" s="6" t="e">
        <f t="shared" ref="L26:O26" si="55">L19/L3</f>
        <v>#DIV/0!</v>
      </c>
      <c r="M26" s="6" t="e">
        <f t="shared" si="55"/>
        <v>#DIV/0!</v>
      </c>
      <c r="N26" s="6" t="e">
        <f t="shared" si="55"/>
        <v>#DIV/0!</v>
      </c>
      <c r="O26" s="6" t="e">
        <f t="shared" si="55"/>
        <v>#DIV/0!</v>
      </c>
      <c r="R26" s="6">
        <f t="shared" ref="R26:V26" si="56">R19/R3</f>
        <v>-6.0394465509213076</v>
      </c>
      <c r="S26" s="6">
        <f t="shared" si="56"/>
        <v>-1.0604226552456342</v>
      </c>
      <c r="T26" s="6">
        <f t="shared" si="56"/>
        <v>-0.51697965012495517</v>
      </c>
      <c r="U26" s="6">
        <f t="shared" si="56"/>
        <v>-0.97265834511677784</v>
      </c>
      <c r="V26" s="6" t="e">
        <f t="shared" si="56"/>
        <v>#DIV/0!</v>
      </c>
    </row>
    <row r="27" spans="2:22" s="6" customFormat="1" x14ac:dyDescent="0.25"/>
    <row r="28" spans="2:22" s="6" customFormat="1" x14ac:dyDescent="0.25">
      <c r="B28" s="6" t="s">
        <v>41</v>
      </c>
      <c r="H28" s="6">
        <f t="shared" ref="H28:J28" si="57">H3/D3-1</f>
        <v>0.42753890793985772</v>
      </c>
      <c r="I28" s="6">
        <f t="shared" si="57"/>
        <v>0.50242645479922787</v>
      </c>
      <c r="J28" s="6">
        <f t="shared" si="57"/>
        <v>-0.18931020667876419</v>
      </c>
      <c r="K28" s="6">
        <f>K3/G3-1</f>
        <v>0.33906785854837818</v>
      </c>
      <c r="L28" s="6">
        <f t="shared" ref="L28:O28" si="58">L3/H3-1</f>
        <v>-1</v>
      </c>
      <c r="M28" s="6">
        <f t="shared" si="58"/>
        <v>-1</v>
      </c>
      <c r="N28" s="6">
        <f t="shared" si="58"/>
        <v>-1</v>
      </c>
      <c r="O28" s="6">
        <f t="shared" si="58"/>
        <v>-1</v>
      </c>
      <c r="S28" s="6">
        <f>S3/R3-1</f>
        <v>3.6051353688551853</v>
      </c>
      <c r="T28" s="6">
        <f>T3/S3-1</f>
        <v>1.0229961432347716</v>
      </c>
      <c r="U28" s="6">
        <f t="shared" ref="U28:V28" si="59">U3/T3-1</f>
        <v>-0.41423777222420566</v>
      </c>
      <c r="V28" s="6">
        <f t="shared" si="59"/>
        <v>-1</v>
      </c>
    </row>
    <row r="29" spans="2:22" s="6" customFormat="1" x14ac:dyDescent="0.25">
      <c r="B29" s="6" t="s">
        <v>42</v>
      </c>
      <c r="E29" s="6">
        <f t="shared" ref="E29:J29" si="60">E20/D20-1</f>
        <v>-5.3049168452517059E-2</v>
      </c>
      <c r="F29" s="6">
        <f t="shared" si="60"/>
        <v>0.38410992031145219</v>
      </c>
      <c r="G29" s="6">
        <f t="shared" si="60"/>
        <v>0.17226301301889024</v>
      </c>
      <c r="H29" s="6">
        <f t="shared" si="60"/>
        <v>0.12159806952344132</v>
      </c>
      <c r="I29" s="6">
        <f t="shared" si="60"/>
        <v>-8.0534827628472083E-2</v>
      </c>
      <c r="J29" s="6">
        <f t="shared" si="60"/>
        <v>9.0613813437584012E-2</v>
      </c>
      <c r="K29" s="6">
        <f>K20/J20-1</f>
        <v>9.7757765375303673E-3</v>
      </c>
      <c r="L29" s="6">
        <f t="shared" ref="L29:O29" si="61">L20/K20-1</f>
        <v>-1</v>
      </c>
      <c r="M29" s="6" t="e">
        <f t="shared" si="61"/>
        <v>#DIV/0!</v>
      </c>
      <c r="N29" s="6" t="e">
        <f t="shared" si="61"/>
        <v>#DIV/0!</v>
      </c>
      <c r="O29" s="6" t="e">
        <f t="shared" si="61"/>
        <v>#DIV/0!</v>
      </c>
      <c r="S29" s="6">
        <f>S20/R20-1</f>
        <v>0.89767429854078662</v>
      </c>
      <c r="T29" s="6">
        <f>T20/S20-1</f>
        <v>0.6732783062875265</v>
      </c>
      <c r="U29" s="6">
        <f t="shared" ref="U29:V29" si="62">U20/T20-1</f>
        <v>-1</v>
      </c>
      <c r="V29" s="6" t="e">
        <f t="shared" si="62"/>
        <v>#DIV/0!</v>
      </c>
    </row>
    <row r="33" spans="2:15" s="3" customFormat="1" x14ac:dyDescent="0.25">
      <c r="B33" s="3" t="s">
        <v>43</v>
      </c>
      <c r="E33" s="3">
        <f t="shared" ref="E33:J33" si="63">+E34-E61</f>
        <v>-69.081999999999994</v>
      </c>
      <c r="F33" s="3">
        <f t="shared" si="63"/>
        <v>0</v>
      </c>
      <c r="G33" s="3">
        <f t="shared" si="63"/>
        <v>0</v>
      </c>
      <c r="H33" s="3">
        <f t="shared" si="63"/>
        <v>23.937999999999999</v>
      </c>
      <c r="I33" s="3">
        <f t="shared" si="63"/>
        <v>-213.435</v>
      </c>
      <c r="J33" s="3">
        <f t="shared" si="63"/>
        <v>-269.947</v>
      </c>
      <c r="K33" s="3">
        <f>+K34-K61</f>
        <v>-398.72300000000001</v>
      </c>
      <c r="L33" s="3">
        <f t="shared" ref="L33:O33" si="64">+L34-L61</f>
        <v>0</v>
      </c>
      <c r="M33" s="3">
        <f t="shared" si="64"/>
        <v>0</v>
      </c>
      <c r="N33" s="3">
        <f t="shared" si="64"/>
        <v>0</v>
      </c>
      <c r="O33" s="3">
        <f t="shared" si="64"/>
        <v>0</v>
      </c>
    </row>
    <row r="34" spans="2:15" s="3" customFormat="1" x14ac:dyDescent="0.25">
      <c r="B34" s="3" t="s">
        <v>44</v>
      </c>
      <c r="E34" s="3">
        <v>54.439</v>
      </c>
      <c r="H34" s="3">
        <v>23.937999999999999</v>
      </c>
      <c r="I34" s="3">
        <v>274.065</v>
      </c>
      <c r="J34" s="3">
        <v>218.16200000000001</v>
      </c>
      <c r="K34" s="3">
        <v>89.992999999999995</v>
      </c>
    </row>
    <row r="35" spans="2:15" s="3" customFormat="1" x14ac:dyDescent="0.25">
      <c r="B35" s="3" t="s">
        <v>45</v>
      </c>
      <c r="I35" s="3">
        <v>0.47499999999999998</v>
      </c>
      <c r="K35" s="3">
        <v>1.1719999999999999</v>
      </c>
    </row>
    <row r="36" spans="2:15" s="3" customFormat="1" x14ac:dyDescent="0.25">
      <c r="B36" s="3" t="s">
        <v>22</v>
      </c>
      <c r="E36" s="3">
        <v>1.8</v>
      </c>
      <c r="H36" s="3">
        <v>0.29699999999999999</v>
      </c>
      <c r="I36" s="3">
        <v>0.47599999999999998</v>
      </c>
      <c r="J36" s="3">
        <v>1.4</v>
      </c>
    </row>
    <row r="37" spans="2:15" s="3" customFormat="1" x14ac:dyDescent="0.25">
      <c r="B37" s="3" t="s">
        <v>46</v>
      </c>
      <c r="E37" s="3">
        <v>4.54</v>
      </c>
      <c r="H37" s="3">
        <v>3.0910000000000002</v>
      </c>
      <c r="I37" s="3">
        <v>2.4929999999999999</v>
      </c>
      <c r="J37" s="3">
        <v>4.7990000000000004</v>
      </c>
      <c r="K37" s="3">
        <v>2.9390000000000001</v>
      </c>
    </row>
    <row r="38" spans="2:15" s="3" customFormat="1" x14ac:dyDescent="0.25">
      <c r="B38" s="3" t="s">
        <v>47</v>
      </c>
      <c r="E38" s="3">
        <v>1</v>
      </c>
      <c r="H38" s="3">
        <v>4.383</v>
      </c>
      <c r="I38" s="3">
        <v>3.7989999999999999</v>
      </c>
      <c r="J38" s="3">
        <v>5.0999999999999996</v>
      </c>
      <c r="K38" s="3">
        <v>4.524</v>
      </c>
    </row>
    <row r="39" spans="2:15" s="3" customFormat="1" x14ac:dyDescent="0.25">
      <c r="B39" s="3" t="s">
        <v>48</v>
      </c>
      <c r="E39" s="3">
        <v>0.8</v>
      </c>
      <c r="H39" s="3">
        <v>0.70599999999999996</v>
      </c>
      <c r="I39" s="3">
        <v>0.123</v>
      </c>
      <c r="J39" s="3">
        <v>0.58499999999999996</v>
      </c>
      <c r="K39" s="3">
        <v>0.48699999999999999</v>
      </c>
    </row>
    <row r="40" spans="2:15" s="3" customFormat="1" x14ac:dyDescent="0.25">
      <c r="B40" s="3" t="s">
        <v>49</v>
      </c>
      <c r="E40" s="3">
        <f>205.284+98.613</f>
        <v>303.89699999999999</v>
      </c>
      <c r="H40" s="3">
        <f>79.494+283.1</f>
        <v>362.59400000000005</v>
      </c>
      <c r="I40" s="3">
        <v>411.86900000000003</v>
      </c>
      <c r="J40" s="3">
        <v>509.88799999999998</v>
      </c>
      <c r="K40" s="3">
        <v>604.76</v>
      </c>
    </row>
    <row r="41" spans="2:15" s="3" customFormat="1" x14ac:dyDescent="0.25">
      <c r="B41" s="3" t="s">
        <v>50</v>
      </c>
      <c r="C41" s="12"/>
      <c r="D41" s="12"/>
      <c r="E41" s="12"/>
      <c r="F41" s="12"/>
      <c r="G41" s="12"/>
      <c r="H41" s="12"/>
      <c r="I41" s="12"/>
      <c r="J41" s="12"/>
      <c r="K41" s="3">
        <v>55.457000000000001</v>
      </c>
    </row>
    <row r="42" spans="2:15" s="3" customFormat="1" x14ac:dyDescent="0.25">
      <c r="B42" s="3" t="s">
        <v>54</v>
      </c>
      <c r="E42" s="3">
        <v>10.943</v>
      </c>
      <c r="H42" s="3">
        <v>10.188000000000001</v>
      </c>
      <c r="I42" s="3">
        <v>85.897999999999996</v>
      </c>
      <c r="J42" s="3">
        <v>85.3</v>
      </c>
      <c r="K42" s="3">
        <v>92.734999999999999</v>
      </c>
    </row>
    <row r="43" spans="2:15" s="3" customFormat="1" x14ac:dyDescent="0.25">
      <c r="B43" s="3" t="s">
        <v>51</v>
      </c>
      <c r="I43" s="3">
        <v>7.2850000000000001</v>
      </c>
      <c r="J43" s="3">
        <v>7.2</v>
      </c>
      <c r="K43" s="3">
        <v>7.1139999999999999</v>
      </c>
    </row>
    <row r="44" spans="2:15" s="3" customFormat="1" x14ac:dyDescent="0.25">
      <c r="B44" s="3" t="s">
        <v>52</v>
      </c>
      <c r="C44" s="12"/>
      <c r="D44" s="12"/>
      <c r="E44" s="12"/>
      <c r="F44" s="12"/>
      <c r="G44" s="12"/>
      <c r="H44" s="12"/>
      <c r="I44" s="12"/>
      <c r="J44" s="12"/>
      <c r="K44" s="3">
        <v>1.425</v>
      </c>
    </row>
    <row r="45" spans="2:15" s="3" customFormat="1" x14ac:dyDescent="0.25">
      <c r="B45" s="3" t="s">
        <v>53</v>
      </c>
      <c r="E45" s="3">
        <v>0.67900000000000005</v>
      </c>
      <c r="H45" s="3">
        <v>0.71</v>
      </c>
      <c r="I45" s="3">
        <v>1.028</v>
      </c>
      <c r="J45" s="3">
        <v>8.7279999999999998</v>
      </c>
      <c r="K45" s="3">
        <v>8.8019999999999996</v>
      </c>
    </row>
    <row r="46" spans="2:15" s="4" customFormat="1" x14ac:dyDescent="0.25">
      <c r="B46" s="4" t="s">
        <v>55</v>
      </c>
      <c r="D46" s="4">
        <f t="shared" ref="D46:J46" si="65">SUM(D34:D45)</f>
        <v>0</v>
      </c>
      <c r="E46" s="4">
        <f t="shared" si="65"/>
        <v>378.09799999999996</v>
      </c>
      <c r="F46" s="4">
        <f t="shared" si="65"/>
        <v>0</v>
      </c>
      <c r="G46" s="4">
        <f t="shared" si="65"/>
        <v>0</v>
      </c>
      <c r="H46" s="4">
        <f t="shared" si="65"/>
        <v>405.90700000000004</v>
      </c>
      <c r="I46" s="4">
        <f t="shared" si="65"/>
        <v>787.51099999999997</v>
      </c>
      <c r="J46" s="4">
        <f t="shared" si="65"/>
        <v>841.16199999999992</v>
      </c>
      <c r="K46" s="4">
        <f>SUM(K34:K45)</f>
        <v>869.40800000000002</v>
      </c>
      <c r="L46" s="4">
        <f t="shared" ref="L46:O46" si="66">SUM(L34:L45)</f>
        <v>0</v>
      </c>
      <c r="M46" s="4">
        <f t="shared" si="66"/>
        <v>0</v>
      </c>
      <c r="N46" s="4">
        <f t="shared" si="66"/>
        <v>0</v>
      </c>
      <c r="O46" s="4">
        <f t="shared" si="66"/>
        <v>0</v>
      </c>
    </row>
    <row r="47" spans="2:15" s="3" customFormat="1" x14ac:dyDescent="0.25">
      <c r="B47" s="3" t="s">
        <v>56</v>
      </c>
      <c r="E47" s="3">
        <v>15.169</v>
      </c>
      <c r="H47" s="3">
        <v>19.77</v>
      </c>
      <c r="I47" s="3">
        <v>24.382000000000001</v>
      </c>
      <c r="J47" s="3">
        <v>54.9</v>
      </c>
      <c r="K47" s="3">
        <v>38.834000000000003</v>
      </c>
    </row>
    <row r="48" spans="2:15" s="3" customFormat="1" x14ac:dyDescent="0.25">
      <c r="B48" s="3" t="s">
        <v>57</v>
      </c>
      <c r="E48" s="3">
        <v>1.526</v>
      </c>
      <c r="H48" s="3">
        <v>5.04</v>
      </c>
      <c r="I48" s="3">
        <v>16.52</v>
      </c>
      <c r="J48" s="3">
        <v>19.526</v>
      </c>
      <c r="K48" s="3">
        <v>20.928999999999998</v>
      </c>
    </row>
    <row r="49" spans="2:15" s="3" customFormat="1" x14ac:dyDescent="0.25">
      <c r="B49" s="3" t="s">
        <v>58</v>
      </c>
      <c r="E49" s="3">
        <v>4.4130000000000003</v>
      </c>
      <c r="I49" s="3">
        <v>4.5519999999999996</v>
      </c>
      <c r="J49" s="3">
        <v>1.512</v>
      </c>
      <c r="K49" s="3">
        <v>4.0780000000000003</v>
      </c>
    </row>
    <row r="50" spans="2:15" s="3" customFormat="1" x14ac:dyDescent="0.25">
      <c r="B50" s="3" t="s">
        <v>59</v>
      </c>
      <c r="I50" s="3">
        <v>2.5590000000000002</v>
      </c>
      <c r="J50" s="3">
        <v>6</v>
      </c>
      <c r="K50" s="3">
        <v>2.2919999999999998</v>
      </c>
    </row>
    <row r="51" spans="2:15" s="3" customFormat="1" x14ac:dyDescent="0.25">
      <c r="B51" s="3" t="s">
        <v>60</v>
      </c>
      <c r="E51" s="3">
        <v>4.766</v>
      </c>
      <c r="H51" s="3">
        <v>7.08</v>
      </c>
      <c r="I51" s="3">
        <v>2.4140000000000001</v>
      </c>
      <c r="J51" s="3">
        <v>6.4320000000000004</v>
      </c>
      <c r="K51" s="3">
        <v>6.1349999999999998</v>
      </c>
    </row>
    <row r="52" spans="2:15" s="3" customFormat="1" x14ac:dyDescent="0.25">
      <c r="B52" s="3" t="s">
        <v>61</v>
      </c>
      <c r="E52" s="3">
        <f>2.5+0.972</f>
        <v>3.472</v>
      </c>
      <c r="H52" s="3">
        <v>0.47199999999999998</v>
      </c>
      <c r="I52" s="3">
        <v>1.391</v>
      </c>
      <c r="J52" s="3">
        <v>0.57099999999999995</v>
      </c>
      <c r="K52" s="3">
        <v>1.4999999999999999E-2</v>
      </c>
    </row>
    <row r="53" spans="2:15" s="3" customFormat="1" x14ac:dyDescent="0.25">
      <c r="B53" s="3" t="s">
        <v>62</v>
      </c>
      <c r="K53" s="3">
        <v>0.68700000000000006</v>
      </c>
    </row>
    <row r="54" spans="2:15" s="3" customFormat="1" x14ac:dyDescent="0.25">
      <c r="B54" s="3" t="s">
        <v>21</v>
      </c>
      <c r="K54" s="3">
        <v>30</v>
      </c>
    </row>
    <row r="55" spans="2:15" s="3" customFormat="1" x14ac:dyDescent="0.25">
      <c r="B55" s="3" t="s">
        <v>63</v>
      </c>
      <c r="J55" s="3">
        <v>31.96</v>
      </c>
      <c r="K55" s="3">
        <v>47.716000000000001</v>
      </c>
    </row>
    <row r="56" spans="2:15" s="3" customFormat="1" x14ac:dyDescent="0.25">
      <c r="B56" s="3" t="s">
        <v>64</v>
      </c>
      <c r="E56" s="3">
        <v>4.8000000000000001E-2</v>
      </c>
      <c r="H56" s="3">
        <v>5.2999999999999999E-2</v>
      </c>
      <c r="I56" s="3">
        <v>2.5000000000000001E-2</v>
      </c>
      <c r="J56" s="3">
        <v>2.5999999999999999E-2</v>
      </c>
      <c r="K56" s="3">
        <v>0.61599999999999999</v>
      </c>
    </row>
    <row r="57" spans="2:15" s="3" customFormat="1" x14ac:dyDescent="0.25">
      <c r="B57" s="3" t="s">
        <v>65</v>
      </c>
      <c r="E57" s="3">
        <v>1.8</v>
      </c>
      <c r="I57" s="3">
        <v>2E-3</v>
      </c>
      <c r="J57" s="3">
        <v>2E-3</v>
      </c>
      <c r="K57" s="3">
        <v>2E-3</v>
      </c>
    </row>
    <row r="58" spans="2:15" s="3" customFormat="1" x14ac:dyDescent="0.25">
      <c r="B58" s="3" t="s">
        <v>66</v>
      </c>
      <c r="J58" s="3">
        <v>58.04</v>
      </c>
      <c r="K58" s="3">
        <v>42.283999999999999</v>
      </c>
    </row>
    <row r="59" spans="2:15" s="3" customFormat="1" x14ac:dyDescent="0.25">
      <c r="B59" s="3" t="s">
        <v>67</v>
      </c>
      <c r="E59" s="3">
        <v>0.89900000000000002</v>
      </c>
      <c r="H59" s="3">
        <v>0.85899999999999999</v>
      </c>
      <c r="I59" s="3">
        <v>3.427</v>
      </c>
      <c r="J59" s="3">
        <v>3.42</v>
      </c>
      <c r="K59" s="3">
        <v>11.255000000000001</v>
      </c>
    </row>
    <row r="60" spans="2:15" s="3" customFormat="1" x14ac:dyDescent="0.25">
      <c r="B60" s="3" t="s">
        <v>68</v>
      </c>
      <c r="I60" s="3">
        <v>0.29199999999999998</v>
      </c>
      <c r="J60" s="3">
        <v>0.29099999999999998</v>
      </c>
      <c r="K60" s="3">
        <v>0.28999999999999998</v>
      </c>
    </row>
    <row r="61" spans="2:15" s="3" customFormat="1" x14ac:dyDescent="0.25">
      <c r="B61" s="3" t="s">
        <v>69</v>
      </c>
      <c r="E61" s="3">
        <v>123.521</v>
      </c>
      <c r="I61" s="3">
        <v>487.5</v>
      </c>
      <c r="J61" s="3">
        <v>488.10899999999998</v>
      </c>
      <c r="K61" s="3">
        <v>488.71600000000001</v>
      </c>
    </row>
    <row r="62" spans="2:15" s="3" customFormat="1" x14ac:dyDescent="0.25">
      <c r="B62" s="3" t="s">
        <v>70</v>
      </c>
      <c r="K62" s="3">
        <v>1.2270000000000001</v>
      </c>
    </row>
    <row r="63" spans="2:15" s="4" customFormat="1" x14ac:dyDescent="0.25">
      <c r="B63" s="4" t="s">
        <v>71</v>
      </c>
      <c r="D63" s="4">
        <f t="shared" ref="D63:J63" si="67">SUM(D47:D62)</f>
        <v>0</v>
      </c>
      <c r="E63" s="4">
        <f t="shared" si="67"/>
        <v>155.614</v>
      </c>
      <c r="F63" s="4">
        <f t="shared" si="67"/>
        <v>0</v>
      </c>
      <c r="G63" s="4">
        <f t="shared" si="67"/>
        <v>0</v>
      </c>
      <c r="H63" s="4">
        <f t="shared" si="67"/>
        <v>33.274000000000001</v>
      </c>
      <c r="I63" s="4">
        <f t="shared" si="67"/>
        <v>543.06399999999996</v>
      </c>
      <c r="J63" s="4">
        <f t="shared" si="67"/>
        <v>670.78899999999999</v>
      </c>
      <c r="K63" s="4">
        <f>SUM(K47:K62)</f>
        <v>695.07600000000002</v>
      </c>
      <c r="L63" s="4">
        <f t="shared" ref="L63:O63" si="68">SUM(L47:L62)</f>
        <v>0</v>
      </c>
      <c r="M63" s="4">
        <f t="shared" si="68"/>
        <v>0</v>
      </c>
      <c r="N63" s="4">
        <f t="shared" si="68"/>
        <v>0</v>
      </c>
      <c r="O63" s="4">
        <f t="shared" si="68"/>
        <v>0</v>
      </c>
    </row>
    <row r="64" spans="2:15" s="3" customFormat="1" x14ac:dyDescent="0.25">
      <c r="B64" s="3" t="s">
        <v>72</v>
      </c>
      <c r="E64" s="3">
        <v>222.489</v>
      </c>
      <c r="H64" s="3">
        <v>372.63099999999997</v>
      </c>
      <c r="I64" s="3">
        <v>244.44499999999999</v>
      </c>
      <c r="J64" s="3">
        <v>170.375</v>
      </c>
      <c r="K64" s="3">
        <v>174.33199999999999</v>
      </c>
    </row>
    <row r="65" spans="2:22" s="4" customFormat="1" x14ac:dyDescent="0.25">
      <c r="B65" s="4" t="s">
        <v>73</v>
      </c>
      <c r="D65" s="4">
        <f t="shared" ref="D65:J65" si="69">SUM(D63:D64)</f>
        <v>0</v>
      </c>
      <c r="E65" s="4">
        <f t="shared" si="69"/>
        <v>378.10300000000001</v>
      </c>
      <c r="F65" s="4">
        <f t="shared" si="69"/>
        <v>0</v>
      </c>
      <c r="G65" s="4">
        <f t="shared" si="69"/>
        <v>0</v>
      </c>
      <c r="H65" s="4">
        <f t="shared" si="69"/>
        <v>405.90499999999997</v>
      </c>
      <c r="I65" s="4">
        <f t="shared" si="69"/>
        <v>787.50900000000001</v>
      </c>
      <c r="J65" s="4">
        <f t="shared" si="69"/>
        <v>841.16399999999999</v>
      </c>
      <c r="K65" s="4">
        <f>SUM(K63:K64)</f>
        <v>869.40800000000002</v>
      </c>
      <c r="L65" s="4">
        <f t="shared" ref="L65:O65" si="70">SUM(L63:L64)</f>
        <v>0</v>
      </c>
      <c r="M65" s="4">
        <f t="shared" si="70"/>
        <v>0</v>
      </c>
      <c r="N65" s="4">
        <f t="shared" si="70"/>
        <v>0</v>
      </c>
      <c r="O65" s="4">
        <f t="shared" si="70"/>
        <v>0</v>
      </c>
    </row>
    <row r="68" spans="2:22" s="19" customFormat="1" x14ac:dyDescent="0.25">
      <c r="B68" s="18" t="s">
        <v>153</v>
      </c>
      <c r="E68" s="19">
        <f t="shared" ref="E68:J68" si="71">SUM(E34:E39)/SUM(E47:E57)</f>
        <v>2.0061229723664802</v>
      </c>
      <c r="F68" s="19" t="e">
        <f t="shared" si="71"/>
        <v>#DIV/0!</v>
      </c>
      <c r="G68" s="19" t="e">
        <f t="shared" si="71"/>
        <v>#DIV/0!</v>
      </c>
      <c r="H68" s="19">
        <f t="shared" si="71"/>
        <v>1</v>
      </c>
      <c r="I68" s="19">
        <f t="shared" si="71"/>
        <v>5.4283151702189212</v>
      </c>
      <c r="J68" s="19">
        <f t="shared" si="71"/>
        <v>1.902322850598285</v>
      </c>
      <c r="K68" s="19">
        <f>SUM(K34:K39)/SUM(K47:K57)</f>
        <v>0.65507190821128303</v>
      </c>
      <c r="L68" s="19" t="e">
        <f t="shared" ref="L68:O68" si="72">SUM(L34:L39)/SUM(L47:L57)</f>
        <v>#DIV/0!</v>
      </c>
      <c r="M68" s="19" t="e">
        <f t="shared" si="72"/>
        <v>#DIV/0!</v>
      </c>
      <c r="N68" s="19" t="e">
        <f t="shared" si="72"/>
        <v>#DIV/0!</v>
      </c>
      <c r="O68" s="19" t="e">
        <f t="shared" si="72"/>
        <v>#DIV/0!</v>
      </c>
    </row>
    <row r="69" spans="2:22" s="19" customFormat="1" x14ac:dyDescent="0.25">
      <c r="B69" s="18" t="s">
        <v>154</v>
      </c>
      <c r="E69" s="19">
        <f t="shared" ref="E69:J69" si="73">E63/E64</f>
        <v>0.69942334227759573</v>
      </c>
      <c r="F69" s="19" t="e">
        <f t="shared" si="73"/>
        <v>#DIV/0!</v>
      </c>
      <c r="G69" s="19" t="e">
        <f t="shared" si="73"/>
        <v>#DIV/0!</v>
      </c>
      <c r="H69" s="19">
        <f t="shared" si="73"/>
        <v>8.9294771503176079E-2</v>
      </c>
      <c r="I69" s="19">
        <f t="shared" si="73"/>
        <v>2.2216204054081694</v>
      </c>
      <c r="J69" s="19">
        <f t="shared" si="73"/>
        <v>3.9371327953044752</v>
      </c>
      <c r="K69" s="19">
        <f>K63/K64</f>
        <v>3.9870821191749077</v>
      </c>
      <c r="L69" s="19" t="e">
        <f t="shared" ref="L69:O69" si="74">L63/L64</f>
        <v>#DIV/0!</v>
      </c>
      <c r="M69" s="19" t="e">
        <f t="shared" si="74"/>
        <v>#DIV/0!</v>
      </c>
      <c r="N69" s="19" t="e">
        <f t="shared" si="74"/>
        <v>#DIV/0!</v>
      </c>
      <c r="O69" s="19" t="e">
        <f t="shared" si="74"/>
        <v>#DIV/0!</v>
      </c>
    </row>
    <row r="70" spans="2:22" s="16" customFormat="1" x14ac:dyDescent="0.25">
      <c r="B70" s="17" t="s">
        <v>155</v>
      </c>
      <c r="E70" s="16">
        <f t="shared" ref="E70:J70" si="75">(E40+E41+E42+E45)/E46</f>
        <v>0.8344899999471036</v>
      </c>
      <c r="F70" s="16" t="e">
        <f t="shared" si="75"/>
        <v>#DIV/0!</v>
      </c>
      <c r="G70" s="16" t="e">
        <f t="shared" si="75"/>
        <v>#DIV/0!</v>
      </c>
      <c r="H70" s="16">
        <f t="shared" si="75"/>
        <v>0.92014180588164285</v>
      </c>
      <c r="I70" s="16">
        <f t="shared" si="75"/>
        <v>0.63338162895502426</v>
      </c>
      <c r="J70" s="16">
        <f t="shared" si="75"/>
        <v>0.71795444872688019</v>
      </c>
      <c r="K70" s="16">
        <f>(K40+K41+K42+K45)/K46</f>
        <v>0.8761755125326659</v>
      </c>
      <c r="L70" s="16" t="e">
        <f t="shared" ref="L70:O70" si="76">(L40+L41+L42+L45)/L46</f>
        <v>#DIV/0!</v>
      </c>
      <c r="M70" s="16" t="e">
        <f t="shared" si="76"/>
        <v>#DIV/0!</v>
      </c>
      <c r="N70" s="16" t="e">
        <f t="shared" si="76"/>
        <v>#DIV/0!</v>
      </c>
      <c r="O70" s="16" t="e">
        <f t="shared" si="76"/>
        <v>#DIV/0!</v>
      </c>
    </row>
    <row r="73" spans="2:22" s="3" customFormat="1" x14ac:dyDescent="0.25">
      <c r="B73" s="3" t="s">
        <v>78</v>
      </c>
      <c r="D73" s="3">
        <f t="shared" ref="D73:J73" si="77">D19</f>
        <v>-19.031000000000002</v>
      </c>
      <c r="E73" s="3">
        <f t="shared" si="77"/>
        <v>-10.622000000000007</v>
      </c>
      <c r="F73" s="3">
        <f t="shared" si="77"/>
        <v>-9.6130000000000013</v>
      </c>
      <c r="G73" s="3">
        <f t="shared" si="77"/>
        <v>-11.058</v>
      </c>
      <c r="H73" s="3">
        <f t="shared" si="77"/>
        <v>-22.727999999999998</v>
      </c>
      <c r="I73" s="3">
        <f t="shared" si="77"/>
        <v>-29.003999999999991</v>
      </c>
      <c r="J73" s="3">
        <f t="shared" si="77"/>
        <v>-61.423000000000009</v>
      </c>
      <c r="K73" s="3">
        <f>K19</f>
        <v>-18.370000000000005</v>
      </c>
      <c r="L73" s="3">
        <f t="shared" ref="L73:O73" si="78">L19</f>
        <v>0</v>
      </c>
      <c r="M73" s="3">
        <f t="shared" si="78"/>
        <v>0</v>
      </c>
      <c r="N73" s="3">
        <f t="shared" si="78"/>
        <v>0</v>
      </c>
      <c r="O73" s="3">
        <f t="shared" si="78"/>
        <v>0</v>
      </c>
      <c r="R73" s="3">
        <f t="shared" ref="R73:U73" si="79">R19</f>
        <v>-90.791000000000011</v>
      </c>
      <c r="S73" s="3">
        <f t="shared" si="79"/>
        <v>-73.412000000000006</v>
      </c>
      <c r="T73" s="3">
        <f t="shared" si="79"/>
        <v>-72.402999999999977</v>
      </c>
      <c r="U73" s="3">
        <f t="shared" si="79"/>
        <v>-79.792999999999992</v>
      </c>
      <c r="V73" s="3">
        <f t="shared" ref="V73" si="80">V19</f>
        <v>0</v>
      </c>
    </row>
    <row r="74" spans="2:22" s="3" customFormat="1" x14ac:dyDescent="0.25">
      <c r="B74" s="3" t="s">
        <v>79</v>
      </c>
      <c r="F74" s="3">
        <v>-9.6129999999999995</v>
      </c>
      <c r="G74" s="3">
        <v>-10.876000000000001</v>
      </c>
      <c r="J74" s="3">
        <v>-61.4</v>
      </c>
      <c r="K74" s="3">
        <v>-18.387999999999998</v>
      </c>
      <c r="R74" s="3">
        <v>-90.790999999999997</v>
      </c>
      <c r="S74" s="3">
        <v>-73.421000000000006</v>
      </c>
      <c r="T74" s="3">
        <v>-72.418000000000006</v>
      </c>
    </row>
    <row r="75" spans="2:22" s="3" customFormat="1" x14ac:dyDescent="0.25">
      <c r="B75" s="3" t="s">
        <v>74</v>
      </c>
      <c r="F75" s="3">
        <v>6.931</v>
      </c>
      <c r="G75" s="3">
        <v>4.8419999999999996</v>
      </c>
      <c r="J75" s="3">
        <v>38.673999999999999</v>
      </c>
      <c r="K75" s="3">
        <v>1.304000000000002</v>
      </c>
      <c r="R75" s="3">
        <v>1.5680000000000001</v>
      </c>
      <c r="S75" s="3">
        <v>5.859</v>
      </c>
      <c r="T75" s="3">
        <v>30.927</v>
      </c>
    </row>
    <row r="76" spans="2:22" s="3" customFormat="1" x14ac:dyDescent="0.25">
      <c r="B76" s="3" t="s">
        <v>75</v>
      </c>
      <c r="F76" s="3">
        <v>15.087999999999999</v>
      </c>
      <c r="G76" s="3">
        <v>14.133000000000001</v>
      </c>
      <c r="J76" s="3">
        <v>15.574</v>
      </c>
      <c r="K76" s="3">
        <v>18.786000000000001</v>
      </c>
      <c r="R76" s="3">
        <v>6.6669999999999998</v>
      </c>
      <c r="S76" s="3">
        <v>28.35</v>
      </c>
      <c r="T76" s="3">
        <v>59.808</v>
      </c>
    </row>
    <row r="77" spans="2:22" s="3" customFormat="1" x14ac:dyDescent="0.25">
      <c r="B77" s="3" t="s">
        <v>76</v>
      </c>
      <c r="F77" s="3">
        <v>0.252</v>
      </c>
      <c r="G77" s="3">
        <v>0.248</v>
      </c>
      <c r="J77" s="3">
        <v>0.68500000000000005</v>
      </c>
      <c r="K77" s="3">
        <v>0.75</v>
      </c>
      <c r="R77" s="3">
        <v>0.3</v>
      </c>
      <c r="S77" s="3">
        <v>1</v>
      </c>
      <c r="T77" s="3">
        <v>1.373</v>
      </c>
    </row>
    <row r="78" spans="2:22" s="3" customFormat="1" x14ac:dyDescent="0.25">
      <c r="B78" s="3" t="s">
        <v>77</v>
      </c>
      <c r="D78" s="3">
        <f t="shared" ref="D78" si="81">D79-SUM(D74:D77)</f>
        <v>0</v>
      </c>
      <c r="E78" s="3">
        <f t="shared" ref="E78" si="82">E79-SUM(E74:E77)</f>
        <v>0</v>
      </c>
      <c r="F78" s="3">
        <f t="shared" ref="F78" si="83">F79-SUM(F74:F77)</f>
        <v>10.188000000000001</v>
      </c>
      <c r="G78" s="3">
        <f t="shared" ref="G78" si="84">G79-SUM(G74:G77)</f>
        <v>8.0339999999999971</v>
      </c>
      <c r="H78" s="3">
        <f t="shared" ref="H78" si="85">H79-SUM(H74:H77)</f>
        <v>0</v>
      </c>
      <c r="I78" s="3">
        <f t="shared" ref="I78" si="86">I79-SUM(I74:I77)</f>
        <v>0</v>
      </c>
      <c r="J78" s="3">
        <f t="shared" ref="J78" si="87">J79-SUM(J74:J77)</f>
        <v>62.954000000000001</v>
      </c>
      <c r="K78" s="3">
        <f t="shared" ref="K78" si="88">K79-SUM(K74:K77)</f>
        <v>-57.262000000000008</v>
      </c>
      <c r="L78" s="3">
        <f t="shared" ref="L78" si="89">L79-SUM(L74:L77)</f>
        <v>0</v>
      </c>
      <c r="M78" s="3">
        <f t="shared" ref="M78" si="90">M79-SUM(M74:M77)</f>
        <v>0</v>
      </c>
      <c r="N78" s="3">
        <f t="shared" ref="N78" si="91">N79-SUM(N74:N77)</f>
        <v>0</v>
      </c>
      <c r="O78" s="3">
        <f t="shared" ref="O78" si="92">O79-SUM(O74:O77)</f>
        <v>0</v>
      </c>
      <c r="R78" s="3">
        <f t="shared" ref="R78" si="93">R79-SUM(R74:R77)</f>
        <v>48.19</v>
      </c>
      <c r="S78" s="3">
        <f t="shared" ref="S78" si="94">S79-SUM(S74:S77)</f>
        <v>42.475000000000009</v>
      </c>
      <c r="T78" s="3">
        <f t="shared" ref="T78" si="95">T79-SUM(T74:T77)</f>
        <v>-44.111999999999995</v>
      </c>
      <c r="U78" s="3">
        <f t="shared" ref="U78" si="96">U79-SUM(U74:U77)</f>
        <v>0</v>
      </c>
      <c r="V78" s="3">
        <f t="shared" ref="V78" si="97">V79-SUM(V74:V77)</f>
        <v>0</v>
      </c>
    </row>
    <row r="79" spans="2:22" s="4" customFormat="1" x14ac:dyDescent="0.25">
      <c r="B79" s="4" t="s">
        <v>80</v>
      </c>
      <c r="F79" s="4">
        <v>22.846</v>
      </c>
      <c r="G79" s="4">
        <v>16.380999999999997</v>
      </c>
      <c r="J79" s="4">
        <v>56.487000000000002</v>
      </c>
      <c r="K79" s="4">
        <v>-54.81</v>
      </c>
      <c r="R79" s="4">
        <v>-34.066000000000003</v>
      </c>
      <c r="S79" s="4">
        <v>4.2629999999999999</v>
      </c>
      <c r="T79" s="4">
        <v>-24.422000000000001</v>
      </c>
    </row>
    <row r="80" spans="2:22" s="3" customFormat="1" x14ac:dyDescent="0.25">
      <c r="B80" s="3" t="s">
        <v>81</v>
      </c>
      <c r="F80" s="3">
        <v>-46.978999999999999</v>
      </c>
      <c r="G80" s="3">
        <v>-46.599999999999994</v>
      </c>
      <c r="J80" s="3">
        <v>-93.686999999999998</v>
      </c>
      <c r="K80" s="3">
        <v>-119.94199999999999</v>
      </c>
      <c r="R80" s="3">
        <v>-61.116</v>
      </c>
      <c r="S80" s="3">
        <v>-75.168000000000006</v>
      </c>
      <c r="T80" s="3">
        <v>-267.94</v>
      </c>
    </row>
    <row r="81" spans="2:22" s="3" customFormat="1" x14ac:dyDescent="0.25">
      <c r="B81" s="3" t="s">
        <v>82</v>
      </c>
      <c r="K81" s="3">
        <v>1.8819999999999999</v>
      </c>
      <c r="T81" s="3">
        <v>23.324000000000002</v>
      </c>
    </row>
    <row r="82" spans="2:22" s="3" customFormat="1" x14ac:dyDescent="0.25">
      <c r="B82" s="3" t="s">
        <v>77</v>
      </c>
      <c r="J82" s="3">
        <v>32.622999999999998</v>
      </c>
      <c r="K82" s="3">
        <v>47.028000000000013</v>
      </c>
      <c r="R82" s="3">
        <f>-46.172-0.03+13.266</f>
        <v>-32.936</v>
      </c>
      <c r="S82" s="3">
        <v>-2.8450000000000002</v>
      </c>
      <c r="T82" s="3">
        <f>67.371+86.086</f>
        <v>153.45699999999999</v>
      </c>
    </row>
    <row r="83" spans="2:22" s="4" customFormat="1" x14ac:dyDescent="0.25">
      <c r="B83" s="4" t="s">
        <v>83</v>
      </c>
      <c r="D83" s="4">
        <f t="shared" ref="D83:F83" si="98">SUM(D80:D82)</f>
        <v>0</v>
      </c>
      <c r="E83" s="4">
        <f t="shared" si="98"/>
        <v>0</v>
      </c>
      <c r="F83" s="4">
        <f t="shared" si="98"/>
        <v>-46.978999999999999</v>
      </c>
      <c r="G83" s="4">
        <f>SUM(G80:G82)</f>
        <v>-46.599999999999994</v>
      </c>
      <c r="H83" s="4">
        <f t="shared" ref="H83:O83" si="99">SUM(H80:H82)</f>
        <v>0</v>
      </c>
      <c r="I83" s="4">
        <f t="shared" si="99"/>
        <v>0</v>
      </c>
      <c r="J83" s="4">
        <f t="shared" si="99"/>
        <v>-61.064</v>
      </c>
      <c r="K83" s="4">
        <f t="shared" si="99"/>
        <v>-71.031999999999982</v>
      </c>
      <c r="L83" s="4">
        <f t="shared" si="99"/>
        <v>0</v>
      </c>
      <c r="M83" s="4">
        <f t="shared" si="99"/>
        <v>0</v>
      </c>
      <c r="N83" s="4">
        <f t="shared" si="99"/>
        <v>0</v>
      </c>
      <c r="O83" s="4">
        <f t="shared" si="99"/>
        <v>0</v>
      </c>
      <c r="R83" s="4">
        <f t="shared" ref="R83" si="100">SUM(R80:R82)</f>
        <v>-94.051999999999992</v>
      </c>
      <c r="S83" s="4">
        <f t="shared" ref="S83" si="101">SUM(S80:S82)</f>
        <v>-78.013000000000005</v>
      </c>
      <c r="T83" s="4">
        <f t="shared" ref="T83" si="102">SUM(T80:T82)</f>
        <v>-91.158999999999992</v>
      </c>
      <c r="U83" s="4">
        <f t="shared" ref="U83" si="103">SUM(U80:U82)</f>
        <v>0</v>
      </c>
      <c r="V83" s="4">
        <f t="shared" ref="V83" si="104">SUM(V80:V82)</f>
        <v>0</v>
      </c>
    </row>
    <row r="84" spans="2:22" s="4" customFormat="1" x14ac:dyDescent="0.25">
      <c r="B84" s="4" t="s">
        <v>84</v>
      </c>
      <c r="F84" s="4">
        <v>15.518000000000001</v>
      </c>
      <c r="G84" s="4">
        <v>88.504400000000004</v>
      </c>
      <c r="J84" s="4">
        <v>-51.326000000000001</v>
      </c>
      <c r="K84" s="4">
        <v>-0.90200000000000102</v>
      </c>
      <c r="R84" s="4">
        <v>89.980999999999995</v>
      </c>
      <c r="S84" s="4">
        <v>119.866</v>
      </c>
      <c r="T84" s="4">
        <v>335.2</v>
      </c>
    </row>
    <row r="85" spans="2:22" s="4" customFormat="1" x14ac:dyDescent="0.25">
      <c r="B85" s="4" t="s">
        <v>85</v>
      </c>
      <c r="D85" s="4">
        <f t="shared" ref="D85:O85" si="105">D79+D83+D84</f>
        <v>0</v>
      </c>
      <c r="E85" s="4">
        <f t="shared" si="105"/>
        <v>0</v>
      </c>
      <c r="F85" s="4">
        <f t="shared" si="105"/>
        <v>-8.6149999999999984</v>
      </c>
      <c r="G85" s="4">
        <f t="shared" si="105"/>
        <v>58.28540000000001</v>
      </c>
      <c r="H85" s="4">
        <f t="shared" si="105"/>
        <v>0</v>
      </c>
      <c r="I85" s="4">
        <f t="shared" si="105"/>
        <v>0</v>
      </c>
      <c r="J85" s="4">
        <f t="shared" si="105"/>
        <v>-55.902999999999999</v>
      </c>
      <c r="K85" s="4">
        <f t="shared" si="105"/>
        <v>-126.74399999999999</v>
      </c>
      <c r="L85" s="4">
        <f t="shared" si="105"/>
        <v>0</v>
      </c>
      <c r="M85" s="4">
        <f t="shared" si="105"/>
        <v>0</v>
      </c>
      <c r="N85" s="4">
        <f t="shared" si="105"/>
        <v>0</v>
      </c>
      <c r="O85" s="4">
        <f t="shared" si="105"/>
        <v>0</v>
      </c>
      <c r="R85" s="4">
        <f t="shared" ref="R85" si="106">R79+R83+R84</f>
        <v>-38.137</v>
      </c>
      <c r="S85" s="4">
        <f t="shared" ref="S85" si="107">S79+S83+S84</f>
        <v>46.116</v>
      </c>
      <c r="T85" s="4">
        <f t="shared" ref="T85" si="108">T79+T83+T84</f>
        <v>219.619</v>
      </c>
      <c r="U85" s="4">
        <f t="shared" ref="U85" si="109">U79+U83+U84</f>
        <v>0</v>
      </c>
      <c r="V85" s="4">
        <f t="shared" ref="V85" si="110">V79+V83+V84</f>
        <v>0</v>
      </c>
    </row>
    <row r="86" spans="2:22" s="3" customFormat="1" x14ac:dyDescent="0.25"/>
    <row r="87" spans="2:22" s="3" customFormat="1" x14ac:dyDescent="0.25">
      <c r="B87" s="3" t="s">
        <v>89</v>
      </c>
      <c r="D87" s="3">
        <f t="shared" ref="D87:J87" si="111">D79+D80</f>
        <v>0</v>
      </c>
      <c r="E87" s="3">
        <f t="shared" si="111"/>
        <v>0</v>
      </c>
      <c r="F87" s="3">
        <f t="shared" si="111"/>
        <v>-24.132999999999999</v>
      </c>
      <c r="G87" s="3">
        <f t="shared" si="111"/>
        <v>-30.218999999999998</v>
      </c>
      <c r="H87" s="3">
        <f t="shared" si="111"/>
        <v>0</v>
      </c>
      <c r="I87" s="3">
        <f t="shared" si="111"/>
        <v>0</v>
      </c>
      <c r="J87" s="3">
        <f t="shared" si="111"/>
        <v>-37.199999999999996</v>
      </c>
      <c r="K87" s="3">
        <f>K79+K80</f>
        <v>-174.75200000000001</v>
      </c>
      <c r="L87" s="3">
        <f t="shared" ref="L87:O87" si="112">L79+L80</f>
        <v>0</v>
      </c>
      <c r="M87" s="3">
        <f t="shared" si="112"/>
        <v>0</v>
      </c>
      <c r="N87" s="3">
        <f t="shared" si="112"/>
        <v>0</v>
      </c>
      <c r="O87" s="3">
        <f t="shared" si="112"/>
        <v>0</v>
      </c>
      <c r="R87" s="3">
        <f t="shared" ref="R87:U87" si="113">R79+R80</f>
        <v>-95.182000000000002</v>
      </c>
      <c r="S87" s="3">
        <f t="shared" si="113"/>
        <v>-70.905000000000001</v>
      </c>
      <c r="T87" s="3">
        <f t="shared" si="113"/>
        <v>-292.36200000000002</v>
      </c>
      <c r="U87" s="3">
        <f t="shared" si="113"/>
        <v>0</v>
      </c>
      <c r="V87" s="3">
        <f t="shared" ref="V87" si="114">V79+V80</f>
        <v>0</v>
      </c>
    </row>
    <row r="88" spans="2:22" s="6" customFormat="1" x14ac:dyDescent="0.25">
      <c r="B88" s="6" t="s">
        <v>90</v>
      </c>
      <c r="D88" s="6">
        <f t="shared" ref="D88:J88" si="115">D87/D3</f>
        <v>0</v>
      </c>
      <c r="E88" s="6">
        <f t="shared" si="115"/>
        <v>0</v>
      </c>
      <c r="F88" s="6">
        <f t="shared" si="115"/>
        <v>-0.56873188320410994</v>
      </c>
      <c r="G88" s="6">
        <f t="shared" si="115"/>
        <v>-0.84946871310507677</v>
      </c>
      <c r="H88" s="6">
        <f t="shared" si="115"/>
        <v>0</v>
      </c>
      <c r="I88" s="6">
        <f t="shared" si="115"/>
        <v>0</v>
      </c>
      <c r="J88" s="6">
        <f t="shared" si="115"/>
        <v>-1.0813953488372092</v>
      </c>
      <c r="K88" s="6">
        <f>K87/K3</f>
        <v>-3.6684860189772439</v>
      </c>
      <c r="L88" s="6" t="e">
        <f t="shared" ref="L88:O88" si="116">L87/L3</f>
        <v>#DIV/0!</v>
      </c>
      <c r="M88" s="6" t="e">
        <f t="shared" si="116"/>
        <v>#DIV/0!</v>
      </c>
      <c r="N88" s="6" t="e">
        <f t="shared" si="116"/>
        <v>#DIV/0!</v>
      </c>
      <c r="O88" s="6" t="e">
        <f t="shared" si="116"/>
        <v>#DIV/0!</v>
      </c>
      <c r="R88" s="6">
        <f t="shared" ref="R88" si="117">R87/R3</f>
        <v>-6.3315372846404578</v>
      </c>
      <c r="S88" s="6">
        <f t="shared" ref="S88" si="118">S87/S3</f>
        <v>-1.0242095075763047</v>
      </c>
      <c r="T88" s="6">
        <f t="shared" ref="T88" si="119">T87/T3</f>
        <v>-2.0875544448411283</v>
      </c>
      <c r="U88" s="6">
        <f t="shared" ref="U88" si="120">U87/U3</f>
        <v>0</v>
      </c>
    </row>
    <row r="89" spans="2:22" s="6" customFormat="1" x14ac:dyDescent="0.25">
      <c r="B89" s="6" t="s">
        <v>91</v>
      </c>
      <c r="D89" s="6">
        <f t="shared" ref="D89:J89" si="121">-D80/D3</f>
        <v>0</v>
      </c>
      <c r="E89" s="6">
        <f t="shared" si="121"/>
        <v>0</v>
      </c>
      <c r="F89" s="6">
        <f t="shared" si="121"/>
        <v>1.1071335988499518</v>
      </c>
      <c r="G89" s="6">
        <f t="shared" si="121"/>
        <v>1.3099454657896215</v>
      </c>
      <c r="H89" s="6">
        <f t="shared" si="121"/>
        <v>0</v>
      </c>
      <c r="I89" s="6">
        <f t="shared" si="121"/>
        <v>0</v>
      </c>
      <c r="J89" s="6">
        <f t="shared" si="121"/>
        <v>2.7234593023255815</v>
      </c>
      <c r="K89" s="6">
        <f>-K80/K3</f>
        <v>2.5178856327147532</v>
      </c>
      <c r="L89" s="6" t="e">
        <f t="shared" ref="L89:O89" si="122">-L80/L3</f>
        <v>#DIV/0!</v>
      </c>
      <c r="M89" s="6" t="e">
        <f t="shared" si="122"/>
        <v>#DIV/0!</v>
      </c>
      <c r="N89" s="6" t="e">
        <f t="shared" si="122"/>
        <v>#DIV/0!</v>
      </c>
      <c r="O89" s="6" t="e">
        <f t="shared" si="122"/>
        <v>#DIV/0!</v>
      </c>
      <c r="R89" s="6">
        <f t="shared" ref="R89:U89" si="123">-R80/R3</f>
        <v>4.0654559968070245</v>
      </c>
      <c r="S89" s="6">
        <f t="shared" si="123"/>
        <v>1.0857877479091134</v>
      </c>
      <c r="T89" s="6">
        <f t="shared" si="123"/>
        <v>1.9131738664762583</v>
      </c>
      <c r="U89" s="6">
        <f t="shared" si="123"/>
        <v>0</v>
      </c>
    </row>
    <row r="90" spans="2:22" s="6" customFormat="1" x14ac:dyDescent="0.25">
      <c r="B90" s="6" t="s">
        <v>92</v>
      </c>
      <c r="G90" s="6" t="e">
        <f t="shared" ref="G90:J90" si="124">G87/C87-1</f>
        <v>#DIV/0!</v>
      </c>
      <c r="H90" s="6" t="e">
        <f t="shared" si="124"/>
        <v>#DIV/0!</v>
      </c>
      <c r="I90" s="6" t="e">
        <f t="shared" si="124"/>
        <v>#DIV/0!</v>
      </c>
      <c r="J90" s="6">
        <f t="shared" si="124"/>
        <v>0.54145775494136639</v>
      </c>
      <c r="K90" s="6">
        <f>K87/G87-1</f>
        <v>4.7828518481749898</v>
      </c>
      <c r="L90" s="6" t="e">
        <f t="shared" ref="L90:O90" si="125">L87/H87-1</f>
        <v>#DIV/0!</v>
      </c>
      <c r="M90" s="6" t="e">
        <f t="shared" si="125"/>
        <v>#DIV/0!</v>
      </c>
      <c r="N90" s="6">
        <f t="shared" si="125"/>
        <v>-1</v>
      </c>
      <c r="O90" s="6">
        <f t="shared" si="125"/>
        <v>-1</v>
      </c>
      <c r="S90" s="6">
        <f>S87/R87-1</f>
        <v>-0.25505872959172948</v>
      </c>
      <c r="T90" s="6">
        <f>T87/S87-1</f>
        <v>3.1232917283689448</v>
      </c>
      <c r="U90" s="6">
        <f t="shared" ref="U90" si="126">U87/T87-1</f>
        <v>-1</v>
      </c>
    </row>
    <row r="93" spans="2:22" s="3" customFormat="1" x14ac:dyDescent="0.25">
      <c r="B93" s="3" t="s">
        <v>86</v>
      </c>
      <c r="F93" s="3">
        <v>31.977</v>
      </c>
      <c r="G93" s="3">
        <v>19.526</v>
      </c>
      <c r="J93" s="3">
        <v>-4.6950000000000003</v>
      </c>
      <c r="K93" s="3">
        <v>14.531000000000001</v>
      </c>
      <c r="S93" s="3">
        <v>31.864000000000001</v>
      </c>
      <c r="T93" s="3">
        <v>60.377000000000002</v>
      </c>
    </row>
    <row r="94" spans="2:22" s="6" customFormat="1" x14ac:dyDescent="0.25">
      <c r="B94" s="6" t="s">
        <v>87</v>
      </c>
      <c r="G94" s="6" t="e">
        <f t="shared" ref="G94:J94" si="127">G93/C93-1</f>
        <v>#DIV/0!</v>
      </c>
      <c r="H94" s="6" t="e">
        <f t="shared" si="127"/>
        <v>#DIV/0!</v>
      </c>
      <c r="I94" s="6" t="e">
        <f t="shared" si="127"/>
        <v>#DIV/0!</v>
      </c>
      <c r="J94" s="6">
        <f t="shared" si="127"/>
        <v>-1.1468242799512149</v>
      </c>
      <c r="K94" s="6">
        <f>K93/G93-1</f>
        <v>-0.25581276247055207</v>
      </c>
      <c r="L94" s="6" t="e">
        <f t="shared" ref="L94:O94" si="128">L93/H93-1</f>
        <v>#DIV/0!</v>
      </c>
      <c r="M94" s="6" t="e">
        <f t="shared" si="128"/>
        <v>#DIV/0!</v>
      </c>
      <c r="N94" s="6">
        <f t="shared" si="128"/>
        <v>-1</v>
      </c>
      <c r="O94" s="6">
        <f t="shared" si="128"/>
        <v>-1</v>
      </c>
      <c r="T94" s="6">
        <f t="shared" ref="T94" si="129">T93/S93-1</f>
        <v>0.89483429575696705</v>
      </c>
      <c r="U94" s="6">
        <f>U93/T93-1</f>
        <v>-1</v>
      </c>
      <c r="V94" s="6" t="e">
        <f t="shared" ref="V94" si="130">V93/U93-1</f>
        <v>#DIV/0!</v>
      </c>
    </row>
    <row r="95" spans="2:22" s="6" customFormat="1" x14ac:dyDescent="0.25">
      <c r="B95" s="6" t="s">
        <v>88</v>
      </c>
      <c r="D95" s="6">
        <f t="shared" ref="D95:J95" si="131">D93/D3</f>
        <v>0</v>
      </c>
      <c r="E95" s="6">
        <f t="shared" si="131"/>
        <v>0</v>
      </c>
      <c r="F95" s="6">
        <f t="shared" si="131"/>
        <v>0.75358800933235925</v>
      </c>
      <c r="G95" s="6">
        <f t="shared" si="131"/>
        <v>0.54888401641648399</v>
      </c>
      <c r="H95" s="6">
        <f t="shared" si="131"/>
        <v>0</v>
      </c>
      <c r="I95" s="6">
        <f t="shared" si="131"/>
        <v>0</v>
      </c>
      <c r="J95" s="6">
        <f t="shared" si="131"/>
        <v>-0.13648255813953489</v>
      </c>
      <c r="K95" s="6">
        <f>K93/K3</f>
        <v>0.3050424049038542</v>
      </c>
      <c r="L95" s="6" t="e">
        <f t="shared" ref="L95:O95" si="132">L93/L3</f>
        <v>#DIV/0!</v>
      </c>
      <c r="M95" s="6" t="e">
        <f t="shared" si="132"/>
        <v>#DIV/0!</v>
      </c>
      <c r="N95" s="6" t="e">
        <f t="shared" si="132"/>
        <v>#DIV/0!</v>
      </c>
      <c r="O95" s="6" t="e">
        <f t="shared" si="132"/>
        <v>#DIV/0!</v>
      </c>
      <c r="S95" s="6">
        <f t="shared" ref="S95" si="133">S93/S3</f>
        <v>0.46026954022158345</v>
      </c>
      <c r="T95" s="6">
        <f>T93/T3</f>
        <v>0.43111031774366299</v>
      </c>
      <c r="U95" s="6">
        <f t="shared" ref="U95:V95" si="134">U93/U3</f>
        <v>0</v>
      </c>
      <c r="V95" s="6" t="e">
        <f t="shared" si="134"/>
        <v>#DIV/0!</v>
      </c>
    </row>
    <row r="98" spans="2:15" x14ac:dyDescent="0.25">
      <c r="B98" s="1" t="s">
        <v>93</v>
      </c>
      <c r="F98" s="1">
        <v>5</v>
      </c>
      <c r="I98" s="1">
        <v>5</v>
      </c>
      <c r="J98" s="1">
        <v>17</v>
      </c>
      <c r="K98" s="1">
        <v>0</v>
      </c>
    </row>
    <row r="99" spans="2:15" s="3" customFormat="1" x14ac:dyDescent="0.25">
      <c r="B99" s="3" t="s">
        <v>142</v>
      </c>
      <c r="F99" s="3">
        <v>0.47599999999999998</v>
      </c>
      <c r="I99" s="3">
        <v>0.47599999999999998</v>
      </c>
      <c r="J99" s="3">
        <v>1.4</v>
      </c>
      <c r="K99" s="3">
        <v>0</v>
      </c>
    </row>
    <row r="102" spans="2:15" x14ac:dyDescent="0.25">
      <c r="B102" s="7" t="s">
        <v>49</v>
      </c>
    </row>
    <row r="103" spans="2:15" s="3" customFormat="1" x14ac:dyDescent="0.25">
      <c r="B103" s="3" t="s">
        <v>94</v>
      </c>
      <c r="E103" s="3">
        <v>100.53100000000001</v>
      </c>
      <c r="H103" s="3">
        <v>203.24700000000001</v>
      </c>
      <c r="I103" s="3">
        <v>192.655</v>
      </c>
      <c r="J103" s="3">
        <v>250.92400000000001</v>
      </c>
      <c r="K103" s="3">
        <v>236.64</v>
      </c>
    </row>
    <row r="104" spans="2:15" s="3" customFormat="1" x14ac:dyDescent="0.25">
      <c r="B104" s="3" t="s">
        <v>95</v>
      </c>
      <c r="E104" s="3">
        <v>24.577999999999999</v>
      </c>
      <c r="H104" s="3">
        <v>29.132999999999999</v>
      </c>
      <c r="I104" s="3">
        <v>107.624</v>
      </c>
      <c r="J104" s="3">
        <v>183.35300000000001</v>
      </c>
      <c r="K104" s="3">
        <v>277.94600000000003</v>
      </c>
    </row>
    <row r="105" spans="2:15" s="3" customFormat="1" x14ac:dyDescent="0.25">
      <c r="B105" s="3" t="s">
        <v>102</v>
      </c>
      <c r="E105" s="3">
        <v>62.85</v>
      </c>
      <c r="H105" s="3">
        <v>91.218000000000004</v>
      </c>
      <c r="I105" s="3">
        <v>91.614000000000004</v>
      </c>
      <c r="J105" s="3">
        <v>119.57</v>
      </c>
      <c r="K105" s="3">
        <v>136.78399999999999</v>
      </c>
    </row>
    <row r="106" spans="2:15" s="3" customFormat="1" x14ac:dyDescent="0.25">
      <c r="B106" s="3" t="s">
        <v>96</v>
      </c>
      <c r="E106" s="3">
        <v>15.736000000000001</v>
      </c>
      <c r="H106" s="3">
        <v>29.628</v>
      </c>
      <c r="I106" s="3">
        <v>32.030999999999999</v>
      </c>
      <c r="J106" s="3">
        <v>37.566000000000003</v>
      </c>
      <c r="K106" s="3">
        <v>44.194000000000003</v>
      </c>
    </row>
    <row r="107" spans="2:15" s="3" customFormat="1" x14ac:dyDescent="0.25">
      <c r="B107" s="3" t="s">
        <v>97</v>
      </c>
      <c r="K107" s="3">
        <v>0.153</v>
      </c>
    </row>
    <row r="108" spans="2:15" s="3" customFormat="1" x14ac:dyDescent="0.25">
      <c r="B108" s="3" t="s">
        <v>98</v>
      </c>
      <c r="E108" s="3">
        <v>0.104</v>
      </c>
      <c r="H108" s="3">
        <v>0.104</v>
      </c>
      <c r="I108" s="3">
        <v>0.104</v>
      </c>
      <c r="J108" s="3">
        <v>0.121</v>
      </c>
      <c r="K108" s="3">
        <v>0.151</v>
      </c>
    </row>
    <row r="109" spans="2:15" s="3" customFormat="1" x14ac:dyDescent="0.25">
      <c r="B109" s="3" t="s">
        <v>99</v>
      </c>
      <c r="E109" s="3">
        <v>36.469000000000001</v>
      </c>
      <c r="H109" s="3">
        <v>9.36</v>
      </c>
      <c r="I109" s="3">
        <v>53.912999999999997</v>
      </c>
    </row>
    <row r="110" spans="2:15" s="3" customFormat="1" x14ac:dyDescent="0.25">
      <c r="B110" s="3" t="s">
        <v>100</v>
      </c>
      <c r="E110" s="3">
        <v>-34.984000000000002</v>
      </c>
      <c r="H110" s="3">
        <v>-79.591999999999999</v>
      </c>
      <c r="I110" s="3">
        <v>-66.072000000000003</v>
      </c>
      <c r="J110" s="3">
        <v>-81.646000000000001</v>
      </c>
      <c r="K110" s="3">
        <v>-91.108000000000004</v>
      </c>
    </row>
    <row r="111" spans="2:15" s="4" customFormat="1" x14ac:dyDescent="0.25">
      <c r="B111" s="4" t="s">
        <v>101</v>
      </c>
      <c r="D111" s="4">
        <f t="shared" ref="D111:J111" si="135">SUM(D103:D110)</f>
        <v>0</v>
      </c>
      <c r="E111" s="4">
        <f t="shared" si="135"/>
        <v>205.28399999999999</v>
      </c>
      <c r="F111" s="4">
        <f t="shared" si="135"/>
        <v>0</v>
      </c>
      <c r="G111" s="4">
        <f t="shared" si="135"/>
        <v>0</v>
      </c>
      <c r="H111" s="4">
        <f t="shared" si="135"/>
        <v>283.09800000000001</v>
      </c>
      <c r="I111" s="4">
        <f t="shared" si="135"/>
        <v>411.86900000000003</v>
      </c>
      <c r="J111" s="4">
        <f t="shared" si="135"/>
        <v>509.88799999999998</v>
      </c>
      <c r="K111" s="4">
        <f>SUM(K103:K110)</f>
        <v>604.76</v>
      </c>
      <c r="L111" s="4">
        <f t="shared" ref="L111:O111" si="136">SUM(L103:L110)</f>
        <v>0</v>
      </c>
      <c r="M111" s="4">
        <f t="shared" si="136"/>
        <v>0</v>
      </c>
      <c r="N111" s="4">
        <f t="shared" si="136"/>
        <v>0</v>
      </c>
      <c r="O111" s="4">
        <f t="shared" si="136"/>
        <v>0</v>
      </c>
    </row>
    <row r="115" spans="2:15" x14ac:dyDescent="0.25">
      <c r="B115" s="7" t="s">
        <v>103</v>
      </c>
    </row>
    <row r="116" spans="2:15" s="8" customFormat="1" x14ac:dyDescent="0.25">
      <c r="B116" s="8" t="s">
        <v>104</v>
      </c>
      <c r="H116" s="8">
        <v>13000</v>
      </c>
      <c r="I116" s="8">
        <v>18500</v>
      </c>
      <c r="J116" s="8">
        <v>18500</v>
      </c>
      <c r="K116" s="8">
        <v>17100</v>
      </c>
    </row>
    <row r="117" spans="2:15" s="8" customFormat="1" x14ac:dyDescent="0.25">
      <c r="B117" s="8" t="s">
        <v>105</v>
      </c>
      <c r="H117" s="8">
        <v>31200</v>
      </c>
      <c r="I117" s="8">
        <v>18100</v>
      </c>
      <c r="J117" s="8">
        <v>15800</v>
      </c>
      <c r="K117" s="8">
        <v>15500</v>
      </c>
    </row>
    <row r="118" spans="2:15" s="8" customFormat="1" x14ac:dyDescent="0.25">
      <c r="B118" s="8" t="s">
        <v>108</v>
      </c>
      <c r="H118" s="8">
        <v>4100</v>
      </c>
      <c r="I118" s="8">
        <v>4200</v>
      </c>
      <c r="J118" s="8">
        <v>4000</v>
      </c>
      <c r="K118" s="8">
        <v>2800</v>
      </c>
    </row>
    <row r="119" spans="2:15" s="8" customFormat="1" x14ac:dyDescent="0.25">
      <c r="B119" s="8" t="s">
        <v>106</v>
      </c>
      <c r="H119" s="8">
        <v>5100</v>
      </c>
      <c r="I119" s="8">
        <v>8300</v>
      </c>
      <c r="J119" s="8">
        <v>8100</v>
      </c>
      <c r="K119" s="8">
        <v>8100</v>
      </c>
    </row>
    <row r="120" spans="2:15" s="8" customFormat="1" x14ac:dyDescent="0.25">
      <c r="B120" s="8" t="s">
        <v>107</v>
      </c>
      <c r="H120" s="8">
        <v>5000</v>
      </c>
      <c r="I120" s="8">
        <v>12900</v>
      </c>
      <c r="J120" s="8">
        <v>26800</v>
      </c>
      <c r="K120" s="8">
        <v>26800</v>
      </c>
    </row>
    <row r="121" spans="2:15" s="9" customFormat="1" x14ac:dyDescent="0.25">
      <c r="B121" s="9" t="s">
        <v>109</v>
      </c>
      <c r="D121" s="9">
        <f t="shared" ref="D121:J121" si="137">SUM(D116:D120)</f>
        <v>0</v>
      </c>
      <c r="E121" s="9">
        <f t="shared" si="137"/>
        <v>0</v>
      </c>
      <c r="F121" s="9">
        <f t="shared" si="137"/>
        <v>0</v>
      </c>
      <c r="G121" s="9">
        <f t="shared" si="137"/>
        <v>0</v>
      </c>
      <c r="H121" s="9">
        <f t="shared" si="137"/>
        <v>58400</v>
      </c>
      <c r="I121" s="9">
        <f t="shared" si="137"/>
        <v>62000</v>
      </c>
      <c r="J121" s="9">
        <f t="shared" si="137"/>
        <v>73200</v>
      </c>
      <c r="K121" s="9">
        <f>SUM(K116:K120)</f>
        <v>70300</v>
      </c>
      <c r="L121" s="9">
        <f t="shared" ref="L121:O121" si="138">SUM(L116:L120)</f>
        <v>0</v>
      </c>
      <c r="M121" s="9">
        <f t="shared" si="138"/>
        <v>0</v>
      </c>
      <c r="N121" s="9">
        <f t="shared" si="138"/>
        <v>0</v>
      </c>
      <c r="O121" s="9">
        <f t="shared" si="138"/>
        <v>0</v>
      </c>
    </row>
    <row r="124" spans="2:15" s="3" customFormat="1" x14ac:dyDescent="0.25">
      <c r="B124" s="3" t="s">
        <v>110</v>
      </c>
      <c r="D124" s="3">
        <v>391.8</v>
      </c>
      <c r="E124" s="3">
        <v>558.4</v>
      </c>
      <c r="F124" s="3">
        <v>556</v>
      </c>
      <c r="G124" s="3">
        <v>566</v>
      </c>
      <c r="H124" s="3">
        <v>602.1</v>
      </c>
      <c r="I124" s="3">
        <v>704</v>
      </c>
      <c r="J124" s="3">
        <v>836.9</v>
      </c>
      <c r="K124" s="3">
        <v>843</v>
      </c>
    </row>
    <row r="125" spans="2:15" s="3" customFormat="1" x14ac:dyDescent="0.25">
      <c r="B125" s="3" t="s">
        <v>111</v>
      </c>
      <c r="D125" s="3">
        <v>27.6</v>
      </c>
      <c r="E125" s="3">
        <v>27.6</v>
      </c>
      <c r="F125" s="3">
        <v>25.4</v>
      </c>
      <c r="G125" s="3">
        <v>23.2</v>
      </c>
      <c r="H125" s="3">
        <v>23.2</v>
      </c>
      <c r="I125" s="3">
        <v>19</v>
      </c>
      <c r="J125" s="3">
        <v>18</v>
      </c>
      <c r="K125" s="3">
        <v>17.7</v>
      </c>
    </row>
    <row r="126" spans="2:15" s="3" customFormat="1" x14ac:dyDescent="0.25">
      <c r="B126" s="3" t="s">
        <v>112</v>
      </c>
      <c r="D126" s="3">
        <v>5</v>
      </c>
      <c r="E126" s="3">
        <v>5</v>
      </c>
      <c r="F126" s="3">
        <v>8</v>
      </c>
      <c r="G126" s="3">
        <v>8</v>
      </c>
      <c r="H126" s="3">
        <v>8.1</v>
      </c>
      <c r="I126" s="3">
        <v>9.6999999999999993</v>
      </c>
      <c r="J126" s="3">
        <v>7.3</v>
      </c>
      <c r="K126" s="3">
        <v>12.2</v>
      </c>
    </row>
    <row r="127" spans="2:15" s="6" customFormat="1" x14ac:dyDescent="0.25">
      <c r="B127" s="6" t="s">
        <v>113</v>
      </c>
      <c r="D127" s="6">
        <f t="shared" ref="D127:J127" si="139">D126/D124</f>
        <v>1.2761613067891781E-2</v>
      </c>
      <c r="E127" s="6">
        <f t="shared" si="139"/>
        <v>8.9541547277936975E-3</v>
      </c>
      <c r="F127" s="6">
        <f t="shared" si="139"/>
        <v>1.4388489208633094E-2</v>
      </c>
      <c r="G127" s="6">
        <f t="shared" si="139"/>
        <v>1.4134275618374558E-2</v>
      </c>
      <c r="H127" s="6">
        <f t="shared" si="139"/>
        <v>1.3452914798206277E-2</v>
      </c>
      <c r="I127" s="6">
        <f t="shared" si="139"/>
        <v>1.3778409090909089E-2</v>
      </c>
      <c r="J127" s="6">
        <f t="shared" si="139"/>
        <v>8.7226669853029039E-3</v>
      </c>
      <c r="K127" s="6">
        <f>K126/K124</f>
        <v>1.4472123368920521E-2</v>
      </c>
      <c r="L127" s="6" t="e">
        <f t="shared" ref="L127:O127" si="140">L126/L124</f>
        <v>#DIV/0!</v>
      </c>
      <c r="M127" s="6" t="e">
        <f t="shared" si="140"/>
        <v>#DIV/0!</v>
      </c>
      <c r="N127" s="6" t="e">
        <f t="shared" si="140"/>
        <v>#DIV/0!</v>
      </c>
      <c r="O127" s="6" t="e">
        <f t="shared" si="140"/>
        <v>#DIV/0!</v>
      </c>
    </row>
    <row r="129" spans="2:20" s="8" customFormat="1" x14ac:dyDescent="0.25">
      <c r="B129" s="10" t="s">
        <v>135</v>
      </c>
    </row>
    <row r="130" spans="2:20" s="8" customFormat="1" x14ac:dyDescent="0.25">
      <c r="B130" s="8" t="s">
        <v>130</v>
      </c>
      <c r="D130" s="8">
        <v>9322</v>
      </c>
      <c r="E130" s="8">
        <v>8676</v>
      </c>
      <c r="F130" s="8">
        <v>15501</v>
      </c>
      <c r="G130" s="8">
        <v>22954</v>
      </c>
      <c r="H130" s="8">
        <v>30448</v>
      </c>
      <c r="I130" s="8">
        <v>25227</v>
      </c>
      <c r="J130" s="8">
        <v>66084</v>
      </c>
      <c r="K130" s="8">
        <v>45555</v>
      </c>
      <c r="S130" s="8">
        <v>8676</v>
      </c>
      <c r="T130" s="8">
        <v>25227</v>
      </c>
    </row>
    <row r="131" spans="2:20" s="8" customFormat="1" x14ac:dyDescent="0.25">
      <c r="B131" s="8" t="s">
        <v>131</v>
      </c>
      <c r="D131" s="8">
        <v>30</v>
      </c>
      <c r="E131" s="8">
        <v>29</v>
      </c>
      <c r="F131" s="8">
        <v>28</v>
      </c>
      <c r="G131" s="8">
        <v>40</v>
      </c>
      <c r="H131" s="8">
        <v>51</v>
      </c>
      <c r="I131" s="8">
        <v>41</v>
      </c>
      <c r="J131" s="8">
        <v>73</v>
      </c>
      <c r="K131" s="8">
        <v>54</v>
      </c>
      <c r="S131" s="8">
        <v>29</v>
      </c>
      <c r="T131" s="8">
        <v>41</v>
      </c>
    </row>
    <row r="132" spans="2:20" s="9" customFormat="1" x14ac:dyDescent="0.25">
      <c r="B132" s="9" t="s">
        <v>134</v>
      </c>
      <c r="D132" s="9">
        <f t="shared" ref="D132:J132" si="141">SUM(D130:D131)</f>
        <v>9352</v>
      </c>
      <c r="E132" s="9">
        <f t="shared" si="141"/>
        <v>8705</v>
      </c>
      <c r="F132" s="9">
        <f t="shared" si="141"/>
        <v>15529</v>
      </c>
      <c r="G132" s="9">
        <f t="shared" si="141"/>
        <v>22994</v>
      </c>
      <c r="H132" s="9">
        <f t="shared" si="141"/>
        <v>30499</v>
      </c>
      <c r="I132" s="9">
        <f t="shared" si="141"/>
        <v>25268</v>
      </c>
      <c r="J132" s="9">
        <f t="shared" si="141"/>
        <v>66157</v>
      </c>
      <c r="K132" s="9">
        <f>SUM(K130:K131)</f>
        <v>45609</v>
      </c>
      <c r="L132" s="9">
        <f t="shared" ref="L132:O132" si="142">SUM(L130:L131)</f>
        <v>0</v>
      </c>
      <c r="M132" s="9">
        <f t="shared" si="142"/>
        <v>0</v>
      </c>
      <c r="N132" s="9">
        <f t="shared" si="142"/>
        <v>0</v>
      </c>
      <c r="O132" s="9">
        <f t="shared" si="142"/>
        <v>0</v>
      </c>
      <c r="S132" s="9">
        <f t="shared" ref="S132" si="143">SUM(S130:S131)</f>
        <v>8705</v>
      </c>
      <c r="T132" s="9">
        <f t="shared" ref="T132" si="144">SUM(T130:T131)</f>
        <v>25268</v>
      </c>
    </row>
    <row r="133" spans="2:20" s="8" customFormat="1" x14ac:dyDescent="0.25">
      <c r="B133" s="8" t="s">
        <v>132</v>
      </c>
      <c r="D133" s="8">
        <v>28104</v>
      </c>
      <c r="E133" s="8">
        <v>29645</v>
      </c>
      <c r="F133" s="8">
        <v>53750</v>
      </c>
      <c r="G133" s="8">
        <v>65984</v>
      </c>
      <c r="H133" s="8">
        <v>61075</v>
      </c>
      <c r="I133" s="8">
        <v>62889</v>
      </c>
      <c r="J133" s="8">
        <v>92600</v>
      </c>
      <c r="K133" s="8">
        <v>98219</v>
      </c>
      <c r="S133" s="8">
        <v>29645</v>
      </c>
      <c r="T133" s="8">
        <v>62889</v>
      </c>
    </row>
    <row r="134" spans="2:20" s="6" customFormat="1" x14ac:dyDescent="0.25">
      <c r="B134" s="6" t="s">
        <v>133</v>
      </c>
      <c r="D134" s="6">
        <f t="shared" ref="D134:J134" si="145">D132/D133</f>
        <v>0.33276401935667521</v>
      </c>
      <c r="E134" s="6">
        <f t="shared" si="145"/>
        <v>0.29364142351155337</v>
      </c>
      <c r="F134" s="6">
        <f t="shared" si="145"/>
        <v>0.28891162790697672</v>
      </c>
      <c r="G134" s="6">
        <f t="shared" si="145"/>
        <v>0.34847841901066923</v>
      </c>
      <c r="H134" s="6">
        <f t="shared" si="145"/>
        <v>0.49936962750716335</v>
      </c>
      <c r="I134" s="6">
        <f t="shared" si="145"/>
        <v>0.40178727599421205</v>
      </c>
      <c r="J134" s="6">
        <f t="shared" si="145"/>
        <v>0.714438444924406</v>
      </c>
      <c r="K134" s="6">
        <f>K132/K133</f>
        <v>0.46436025616224968</v>
      </c>
      <c r="L134" s="6" t="e">
        <f t="shared" ref="L134:O134" si="146">L132/L133</f>
        <v>#DIV/0!</v>
      </c>
      <c r="M134" s="6" t="e">
        <f t="shared" si="146"/>
        <v>#DIV/0!</v>
      </c>
      <c r="N134" s="6" t="e">
        <f t="shared" si="146"/>
        <v>#DIV/0!</v>
      </c>
      <c r="O134" s="6" t="e">
        <f t="shared" si="146"/>
        <v>#DIV/0!</v>
      </c>
      <c r="S134" s="6">
        <f t="shared" ref="S134" si="147">S132/S133</f>
        <v>0.29364142351155337</v>
      </c>
      <c r="T134" s="6">
        <f t="shared" ref="T134" si="148">T132/T133</f>
        <v>0.40178727599421205</v>
      </c>
    </row>
    <row r="135" spans="2:20" s="8" customFormat="1" x14ac:dyDescent="0.25"/>
    <row r="136" spans="2:20" s="8" customFormat="1" x14ac:dyDescent="0.25">
      <c r="B136" s="10" t="s">
        <v>135</v>
      </c>
    </row>
    <row r="137" spans="2:20" s="8" customFormat="1" x14ac:dyDescent="0.25">
      <c r="B137" s="8" t="s">
        <v>136</v>
      </c>
      <c r="D137" s="8">
        <v>981</v>
      </c>
      <c r="E137" s="8">
        <v>959</v>
      </c>
      <c r="F137" s="8">
        <v>1051</v>
      </c>
      <c r="G137" s="8">
        <v>699</v>
      </c>
      <c r="H137" s="8">
        <v>555</v>
      </c>
      <c r="I137" s="8">
        <v>423</v>
      </c>
      <c r="J137" s="8">
        <v>372</v>
      </c>
      <c r="K137" s="8">
        <v>485</v>
      </c>
      <c r="S137" s="8">
        <v>3343</v>
      </c>
      <c r="T137" s="8">
        <v>2728</v>
      </c>
    </row>
    <row r="138" spans="2:20" s="3" customFormat="1" x14ac:dyDescent="0.25">
      <c r="B138" s="3" t="s">
        <v>137</v>
      </c>
      <c r="D138" s="3">
        <v>27.562999999999999</v>
      </c>
      <c r="E138" s="3">
        <v>34.796999999999997</v>
      </c>
      <c r="F138" s="3">
        <v>56.491</v>
      </c>
      <c r="G138" s="3">
        <v>46.094000000000001</v>
      </c>
      <c r="H138" s="3">
        <v>33.898000000000003</v>
      </c>
      <c r="I138" s="3">
        <v>35.064000000000007</v>
      </c>
      <c r="J138" s="3">
        <v>34.405000000000001</v>
      </c>
      <c r="K138" s="3">
        <v>47.636000000000003</v>
      </c>
      <c r="P138" s="8"/>
      <c r="Q138" s="8"/>
      <c r="S138" s="3">
        <v>99.105000000000004</v>
      </c>
      <c r="T138" s="3">
        <v>171.547</v>
      </c>
    </row>
    <row r="139" spans="2:20" s="8" customFormat="1" x14ac:dyDescent="0.25">
      <c r="B139" s="8" t="s">
        <v>138</v>
      </c>
      <c r="D139" s="8">
        <v>293573.42800000001</v>
      </c>
      <c r="E139" s="8">
        <v>296219.43999999994</v>
      </c>
      <c r="F139" s="8">
        <v>393411</v>
      </c>
      <c r="G139" s="8">
        <v>429520</v>
      </c>
      <c r="H139" s="8">
        <v>444817.74099999998</v>
      </c>
      <c r="I139" s="8">
        <v>333312.25900000008</v>
      </c>
      <c r="J139" s="8">
        <v>301880</v>
      </c>
      <c r="K139" s="8">
        <v>420771</v>
      </c>
      <c r="S139" s="8">
        <v>910744</v>
      </c>
      <c r="T139" s="8">
        <v>1601061</v>
      </c>
    </row>
    <row r="140" spans="2:20" s="3" customFormat="1" x14ac:dyDescent="0.25">
      <c r="B140" s="3" t="s">
        <v>141</v>
      </c>
      <c r="D140" s="3">
        <v>9.1419999999999995</v>
      </c>
      <c r="E140" s="3">
        <v>9.8769999999999989</v>
      </c>
      <c r="F140" s="3">
        <v>16.292000000000002</v>
      </c>
      <c r="G140" s="3">
        <v>16.035</v>
      </c>
      <c r="H140" s="3">
        <v>16.899000000000001</v>
      </c>
      <c r="I140" s="3">
        <v>19.588999999999999</v>
      </c>
      <c r="J140" s="3">
        <v>24.553000000000001</v>
      </c>
      <c r="K140" s="3">
        <v>22.094000000000001</v>
      </c>
      <c r="P140" s="8"/>
      <c r="Q140" s="8"/>
      <c r="S140" s="3">
        <v>29</v>
      </c>
      <c r="T140" s="3">
        <v>68.814999999999998</v>
      </c>
    </row>
    <row r="141" spans="2:20" s="11" customFormat="1" x14ac:dyDescent="0.25">
      <c r="B141" s="11" t="s">
        <v>139</v>
      </c>
      <c r="D141" s="11">
        <v>3.1E-2</v>
      </c>
      <c r="E141" s="11">
        <v>3.2000000000000001E-2</v>
      </c>
      <c r="F141" s="11">
        <v>4.1000000000000002E-2</v>
      </c>
      <c r="G141" s="11">
        <v>3.6999999999999998E-2</v>
      </c>
      <c r="H141" s="11">
        <v>3.7999999999999999E-2</v>
      </c>
      <c r="I141" s="11">
        <v>4.2999999999999997E-2</v>
      </c>
      <c r="J141" s="11">
        <v>8.1000000000000003E-2</v>
      </c>
      <c r="K141" s="11">
        <v>5.2999999999999999E-2</v>
      </c>
      <c r="Q141" s="8"/>
      <c r="S141" s="11">
        <v>3.2000000000000001E-2</v>
      </c>
      <c r="T141" s="11">
        <v>4.2999999999999997E-2</v>
      </c>
    </row>
    <row r="142" spans="2:20" s="6" customFormat="1" x14ac:dyDescent="0.25">
      <c r="B142" s="6" t="s">
        <v>140</v>
      </c>
      <c r="D142" s="6">
        <f t="shared" ref="D142:J142" si="149">D140/D138</f>
        <v>0.33167652287486848</v>
      </c>
      <c r="E142" s="6">
        <f t="shared" si="149"/>
        <v>0.28384630858982096</v>
      </c>
      <c r="F142" s="6">
        <f t="shared" si="149"/>
        <v>0.2883999221114868</v>
      </c>
      <c r="G142" s="6">
        <f t="shared" si="149"/>
        <v>0.34787607931617998</v>
      </c>
      <c r="H142" s="6">
        <f t="shared" si="149"/>
        <v>0.49852498672488049</v>
      </c>
      <c r="I142" s="6">
        <f t="shared" si="149"/>
        <v>0.55866415697011163</v>
      </c>
      <c r="J142" s="6">
        <f t="shared" si="149"/>
        <v>0.71364627234413602</v>
      </c>
      <c r="K142" s="6">
        <f>K140/K138</f>
        <v>0.46380888403728271</v>
      </c>
      <c r="L142" s="6" t="e">
        <f t="shared" ref="L142:O142" si="150">L140/L138</f>
        <v>#DIV/0!</v>
      </c>
      <c r="M142" s="6" t="e">
        <f t="shared" si="150"/>
        <v>#DIV/0!</v>
      </c>
      <c r="N142" s="6" t="e">
        <f t="shared" si="150"/>
        <v>#DIV/0!</v>
      </c>
      <c r="O142" s="6" t="e">
        <f t="shared" si="150"/>
        <v>#DIV/0!</v>
      </c>
      <c r="S142" s="6">
        <f t="shared" ref="S142:T142" si="151">S140/S138</f>
        <v>0.29261893950860196</v>
      </c>
      <c r="T142" s="6">
        <f t="shared" si="151"/>
        <v>0.40114370988708631</v>
      </c>
    </row>
  </sheetData>
  <phoneticPr fontId="6" type="noConversion"/>
  <hyperlinks>
    <hyperlink ref="A1" location="Main!A1" display="Main" xr:uid="{EBCB7630-4636-4D18-A6D3-191EF1C27760}"/>
  </hyperlinks>
  <pageMargins left="0.7" right="0.7" top="0.75" bottom="0.75" header="0.3" footer="0.3"/>
  <ignoredErrors>
    <ignoredError sqref="F83:O8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1B4A-65B9-4FA2-9269-0588B900A304}">
  <dimension ref="B1:B10"/>
  <sheetViews>
    <sheetView workbookViewId="0">
      <selection activeCell="E4" sqref="E4"/>
    </sheetView>
  </sheetViews>
  <sheetFormatPr defaultRowHeight="13.2" x14ac:dyDescent="0.25"/>
  <cols>
    <col min="1" max="1" width="8.88671875" style="1"/>
    <col min="2" max="2" width="16.88671875" style="1" customWidth="1"/>
    <col min="3" max="16384" width="8.88671875" style="1"/>
  </cols>
  <sheetData>
    <row r="1" spans="2:2" x14ac:dyDescent="0.25">
      <c r="B1" s="15" t="s">
        <v>151</v>
      </c>
    </row>
    <row r="2" spans="2:2" x14ac:dyDescent="0.25">
      <c r="B2" s="15" t="s">
        <v>152</v>
      </c>
    </row>
    <row r="3" spans="2:2" x14ac:dyDescent="0.25">
      <c r="B3" s="1" t="s">
        <v>143</v>
      </c>
    </row>
    <row r="4" spans="2:2" ht="39.6" x14ac:dyDescent="0.25">
      <c r="B4" s="13" t="s">
        <v>144</v>
      </c>
    </row>
    <row r="5" spans="2:2" x14ac:dyDescent="0.25">
      <c r="B5" s="14" t="s">
        <v>147</v>
      </c>
    </row>
    <row r="6" spans="2:2" x14ac:dyDescent="0.25">
      <c r="B6" s="1" t="s">
        <v>145</v>
      </c>
    </row>
    <row r="7" spans="2:2" x14ac:dyDescent="0.25">
      <c r="B7" s="1" t="s">
        <v>146</v>
      </c>
    </row>
    <row r="8" spans="2:2" x14ac:dyDescent="0.25">
      <c r="B8" s="1" t="s">
        <v>148</v>
      </c>
    </row>
    <row r="9" spans="2:2" x14ac:dyDescent="0.25">
      <c r="B9" s="1" t="s">
        <v>149</v>
      </c>
    </row>
    <row r="10" spans="2:2" x14ac:dyDescent="0.25">
      <c r="B10" s="1" t="s">
        <v>150</v>
      </c>
    </row>
  </sheetData>
  <hyperlinks>
    <hyperlink ref="B1" r:id="rId1" xr:uid="{21E57A6A-71F9-4EE6-847F-E9FB6ADE371E}"/>
    <hyperlink ref="B2" r:id="rId2" xr:uid="{5BE1F1AE-F2BE-47B5-91A5-159DBC0D87F6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Data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2025-10-13T18:14:38Z</dcterms:modified>
</cp:coreProperties>
</file>