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egaMukhigulashvili\Desktop\Excel\"/>
    </mc:Choice>
  </mc:AlternateContent>
  <xr:revisionPtr revIDLastSave="0" documentId="13_ncr:1_{3704EB6A-5479-4B91-BF89-293DE92EC83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ain" sheetId="1" r:id="rId1"/>
    <sheet name="Model" sheetId="2" r:id="rId2"/>
    <sheet name="Data Centers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17" i="2" l="1"/>
  <c r="I117" i="2"/>
  <c r="H117" i="2"/>
  <c r="G117" i="2"/>
  <c r="N117" i="2"/>
  <c r="M117" i="2"/>
  <c r="L117" i="2"/>
  <c r="J66" i="2"/>
  <c r="I66" i="2"/>
  <c r="H66" i="2"/>
  <c r="G66" i="2"/>
  <c r="F66" i="2"/>
  <c r="K66" i="2"/>
  <c r="L65" i="2"/>
  <c r="L64" i="2"/>
  <c r="J65" i="2"/>
  <c r="I65" i="2"/>
  <c r="H65" i="2"/>
  <c r="G65" i="2"/>
  <c r="F65" i="2"/>
  <c r="K65" i="2"/>
  <c r="J64" i="2"/>
  <c r="I64" i="2"/>
  <c r="H64" i="2"/>
  <c r="G64" i="2"/>
  <c r="F64" i="2"/>
  <c r="K64" i="2"/>
  <c r="K11" i="1"/>
  <c r="K10" i="1"/>
  <c r="K7" i="1"/>
  <c r="K105" i="2" l="1"/>
  <c r="J59" i="2"/>
  <c r="K59" i="2"/>
  <c r="K54" i="2"/>
  <c r="L136" i="2"/>
  <c r="K136" i="2"/>
  <c r="I136" i="2"/>
  <c r="H136" i="2"/>
  <c r="G136" i="2"/>
  <c r="J136" i="2"/>
  <c r="I31" i="2"/>
  <c r="H31" i="2"/>
  <c r="G31" i="2"/>
  <c r="F31" i="2"/>
  <c r="E31" i="2"/>
  <c r="D31" i="2"/>
  <c r="J31" i="2"/>
  <c r="G50" i="2"/>
  <c r="H14" i="2"/>
  <c r="H50" i="2"/>
  <c r="I14" i="2"/>
  <c r="V10" i="3"/>
  <c r="L142" i="2" l="1"/>
  <c r="K142" i="2"/>
  <c r="J142" i="2"/>
  <c r="I142" i="2"/>
  <c r="H142" i="2"/>
  <c r="G142" i="2"/>
  <c r="F142" i="2"/>
  <c r="E142" i="2"/>
  <c r="D142" i="2"/>
  <c r="C142" i="2"/>
  <c r="S142" i="2"/>
  <c r="R142" i="2"/>
  <c r="U142" i="2"/>
  <c r="T142" i="2"/>
  <c r="L148" i="2"/>
  <c r="K148" i="2"/>
  <c r="J148" i="2"/>
  <c r="I148" i="2"/>
  <c r="H148" i="2"/>
  <c r="G148" i="2"/>
  <c r="F148" i="2"/>
  <c r="E148" i="2"/>
  <c r="D148" i="2"/>
  <c r="C148" i="2"/>
  <c r="U148" i="2"/>
  <c r="S148" i="2"/>
  <c r="R148" i="2"/>
  <c r="T148" i="2"/>
  <c r="L155" i="2"/>
  <c r="K155" i="2"/>
  <c r="J155" i="2"/>
  <c r="I155" i="2"/>
  <c r="H155" i="2"/>
  <c r="G155" i="2"/>
  <c r="F155" i="2"/>
  <c r="E155" i="2"/>
  <c r="D155" i="2"/>
  <c r="C155" i="2"/>
  <c r="U155" i="2"/>
  <c r="S155" i="2"/>
  <c r="R155" i="2"/>
  <c r="T155" i="2"/>
  <c r="S134" i="2"/>
  <c r="I134" i="2"/>
  <c r="H134" i="2"/>
  <c r="G134" i="2"/>
  <c r="F134" i="2"/>
  <c r="E134" i="2"/>
  <c r="D134" i="2"/>
  <c r="C134" i="2"/>
  <c r="L134" i="2"/>
  <c r="K134" i="2"/>
  <c r="T134" i="2"/>
  <c r="J134" i="2"/>
  <c r="U120" i="2"/>
  <c r="T120" i="2"/>
  <c r="S120" i="2"/>
  <c r="R120" i="2"/>
  <c r="V113" i="2"/>
  <c r="U113" i="2"/>
  <c r="V96" i="2"/>
  <c r="U96" i="2"/>
  <c r="V91" i="2"/>
  <c r="U91" i="2"/>
  <c r="V69" i="2"/>
  <c r="R100" i="2"/>
  <c r="R98" i="2"/>
  <c r="R113" i="2" s="1"/>
  <c r="R86" i="2"/>
  <c r="R85" i="2"/>
  <c r="S99" i="2"/>
  <c r="S98" i="2"/>
  <c r="S113" i="2" s="1"/>
  <c r="S79" i="2"/>
  <c r="S86" i="2"/>
  <c r="S85" i="2"/>
  <c r="N113" i="2"/>
  <c r="M113" i="2"/>
  <c r="L113" i="2"/>
  <c r="K113" i="2"/>
  <c r="J113" i="2"/>
  <c r="I113" i="2"/>
  <c r="H113" i="2"/>
  <c r="G113" i="2"/>
  <c r="F113" i="2"/>
  <c r="E113" i="2"/>
  <c r="D113" i="2"/>
  <c r="C113" i="2"/>
  <c r="T113" i="2"/>
  <c r="N96" i="2"/>
  <c r="M96" i="2"/>
  <c r="L96" i="2"/>
  <c r="K96" i="2"/>
  <c r="J96" i="2"/>
  <c r="I96" i="2"/>
  <c r="H96" i="2"/>
  <c r="G96" i="2"/>
  <c r="F96" i="2"/>
  <c r="E96" i="2"/>
  <c r="D96" i="2"/>
  <c r="C96" i="2"/>
  <c r="S96" i="2"/>
  <c r="R96" i="2"/>
  <c r="T96" i="2"/>
  <c r="N91" i="2"/>
  <c r="M91" i="2"/>
  <c r="L91" i="2"/>
  <c r="K91" i="2"/>
  <c r="J91" i="2"/>
  <c r="I91" i="2"/>
  <c r="H91" i="2"/>
  <c r="F91" i="2"/>
  <c r="E91" i="2"/>
  <c r="D91" i="2"/>
  <c r="C91" i="2"/>
  <c r="C114" i="2" s="1"/>
  <c r="T86" i="2"/>
  <c r="T85" i="2"/>
  <c r="T79" i="2"/>
  <c r="T91" i="2" s="1"/>
  <c r="T117" i="2" s="1"/>
  <c r="K9" i="1"/>
  <c r="T34" i="2"/>
  <c r="L34" i="2"/>
  <c r="K34" i="2"/>
  <c r="I34" i="2"/>
  <c r="H34" i="2"/>
  <c r="G34" i="2"/>
  <c r="E34" i="2"/>
  <c r="D34" i="2"/>
  <c r="C34" i="2"/>
  <c r="J34" i="2"/>
  <c r="S52" i="2"/>
  <c r="S51" i="2"/>
  <c r="S50" i="2"/>
  <c r="S45" i="2"/>
  <c r="T54" i="2"/>
  <c r="T58" i="2" s="1"/>
  <c r="T60" i="2" s="1"/>
  <c r="T45" i="2"/>
  <c r="U30" i="2"/>
  <c r="S30" i="2"/>
  <c r="T30" i="2"/>
  <c r="S24" i="2"/>
  <c r="R24" i="2"/>
  <c r="S14" i="2"/>
  <c r="T14" i="2"/>
  <c r="U10" i="2"/>
  <c r="T10" i="2"/>
  <c r="S10" i="2"/>
  <c r="R10" i="2"/>
  <c r="U5" i="2"/>
  <c r="T5" i="2"/>
  <c r="T24" i="2" s="1"/>
  <c r="S5" i="2"/>
  <c r="R5" i="2"/>
  <c r="F52" i="2"/>
  <c r="F51" i="2"/>
  <c r="F50" i="2"/>
  <c r="F34" i="2" s="1"/>
  <c r="L58" i="2"/>
  <c r="L60" i="2" s="1"/>
  <c r="K58" i="2"/>
  <c r="K60" i="2" s="1"/>
  <c r="I58" i="2"/>
  <c r="I60" i="2" s="1"/>
  <c r="H58" i="2"/>
  <c r="H60" i="2" s="1"/>
  <c r="G58" i="2"/>
  <c r="G60" i="2" s="1"/>
  <c r="E58" i="2"/>
  <c r="E60" i="2" s="1"/>
  <c r="D58" i="2"/>
  <c r="D60" i="2" s="1"/>
  <c r="C58" i="2"/>
  <c r="C60" i="2" s="1"/>
  <c r="J45" i="2"/>
  <c r="J63" i="2" s="1"/>
  <c r="J54" i="2"/>
  <c r="I45" i="2"/>
  <c r="I63" i="2" s="1"/>
  <c r="H45" i="2"/>
  <c r="H63" i="2" s="1"/>
  <c r="G45" i="2"/>
  <c r="G63" i="2" s="1"/>
  <c r="F45" i="2"/>
  <c r="F63" i="2" s="1"/>
  <c r="E45" i="2"/>
  <c r="E63" i="2" s="1"/>
  <c r="D45" i="2"/>
  <c r="D63" i="2" s="1"/>
  <c r="C45" i="2"/>
  <c r="C63" i="2" s="1"/>
  <c r="L45" i="2"/>
  <c r="L63" i="2" s="1"/>
  <c r="K45" i="2"/>
  <c r="K63" i="2" s="1"/>
  <c r="I30" i="2"/>
  <c r="H30" i="2"/>
  <c r="G30" i="2"/>
  <c r="L30" i="2"/>
  <c r="K30" i="2"/>
  <c r="J30" i="2"/>
  <c r="F14" i="2"/>
  <c r="N10" i="2"/>
  <c r="M10" i="2"/>
  <c r="L10" i="2"/>
  <c r="K10" i="2"/>
  <c r="H10" i="2"/>
  <c r="G10" i="2"/>
  <c r="F10" i="2"/>
  <c r="E10" i="2"/>
  <c r="D10" i="2"/>
  <c r="C10" i="2"/>
  <c r="I10" i="2"/>
  <c r="J10" i="2"/>
  <c r="N5" i="2"/>
  <c r="M5" i="2"/>
  <c r="L5" i="2"/>
  <c r="L24" i="2" s="1"/>
  <c r="K5" i="2"/>
  <c r="K24" i="2" s="1"/>
  <c r="I5" i="2"/>
  <c r="I24" i="2" s="1"/>
  <c r="H5" i="2"/>
  <c r="H24" i="2" s="1"/>
  <c r="G5" i="2"/>
  <c r="G24" i="2" s="1"/>
  <c r="F5" i="2"/>
  <c r="F24" i="2" s="1"/>
  <c r="E5" i="2"/>
  <c r="E24" i="2" s="1"/>
  <c r="D5" i="2"/>
  <c r="D24" i="2" s="1"/>
  <c r="C5" i="2"/>
  <c r="C24" i="2" s="1"/>
  <c r="J5" i="2"/>
  <c r="J11" i="2" s="1"/>
  <c r="J15" i="2" s="1"/>
  <c r="J27" i="2" s="1"/>
  <c r="G114" i="2" l="1"/>
  <c r="K13" i="1"/>
  <c r="F114" i="2"/>
  <c r="K114" i="2"/>
  <c r="K117" i="2"/>
  <c r="H114" i="2"/>
  <c r="L114" i="2"/>
  <c r="I114" i="2"/>
  <c r="M114" i="2"/>
  <c r="J114" i="2"/>
  <c r="N114" i="2"/>
  <c r="U11" i="2"/>
  <c r="U15" i="2" s="1"/>
  <c r="U17" i="2" s="1"/>
  <c r="U19" i="2" s="1"/>
  <c r="U21" i="2" s="1"/>
  <c r="D114" i="2"/>
  <c r="E114" i="2"/>
  <c r="U114" i="2"/>
  <c r="V114" i="2"/>
  <c r="T119" i="2"/>
  <c r="U24" i="2"/>
  <c r="F58" i="2"/>
  <c r="F60" i="2" s="1"/>
  <c r="I11" i="2"/>
  <c r="I15" i="2" s="1"/>
  <c r="I17" i="2" s="1"/>
  <c r="I19" i="2" s="1"/>
  <c r="I21" i="2" s="1"/>
  <c r="U117" i="2"/>
  <c r="R91" i="2"/>
  <c r="R117" i="2" s="1"/>
  <c r="R119" i="2" s="1"/>
  <c r="N11" i="2"/>
  <c r="N15" i="2" s="1"/>
  <c r="N17" i="2" s="1"/>
  <c r="N19" i="2" s="1"/>
  <c r="T114" i="2"/>
  <c r="S58" i="2"/>
  <c r="S60" i="2" s="1"/>
  <c r="S34" i="2"/>
  <c r="S91" i="2"/>
  <c r="S11" i="2"/>
  <c r="T11" i="2"/>
  <c r="R11" i="2"/>
  <c r="J58" i="2"/>
  <c r="J60" i="2" s="1"/>
  <c r="J17" i="2"/>
  <c r="J19" i="2" s="1"/>
  <c r="J69" i="2" s="1"/>
  <c r="J24" i="2"/>
  <c r="J25" i="2"/>
  <c r="D11" i="2"/>
  <c r="D15" i="2" s="1"/>
  <c r="D17" i="2" s="1"/>
  <c r="D19" i="2" s="1"/>
  <c r="D28" i="2" s="1"/>
  <c r="J26" i="2"/>
  <c r="K11" i="2"/>
  <c r="K15" i="2" s="1"/>
  <c r="M11" i="2"/>
  <c r="M15" i="2" s="1"/>
  <c r="M17" i="2" s="1"/>
  <c r="M19" i="2" s="1"/>
  <c r="H11" i="2"/>
  <c r="C11" i="2"/>
  <c r="L11" i="2"/>
  <c r="E11" i="2"/>
  <c r="G11" i="2"/>
  <c r="F11" i="2"/>
  <c r="I27" i="2" l="1"/>
  <c r="U27" i="2"/>
  <c r="J28" i="2"/>
  <c r="U25" i="2"/>
  <c r="U26" i="2"/>
  <c r="I28" i="2"/>
  <c r="J21" i="2"/>
  <c r="U69" i="2"/>
  <c r="U28" i="2"/>
  <c r="N21" i="2"/>
  <c r="N69" i="2"/>
  <c r="R15" i="2"/>
  <c r="R25" i="2"/>
  <c r="R26" i="2"/>
  <c r="T15" i="2"/>
  <c r="T26" i="2"/>
  <c r="T25" i="2"/>
  <c r="S15" i="2"/>
  <c r="S26" i="2"/>
  <c r="S25" i="2"/>
  <c r="U118" i="2"/>
  <c r="U119" i="2"/>
  <c r="M21" i="2"/>
  <c r="M69" i="2"/>
  <c r="S114" i="2"/>
  <c r="S117" i="2"/>
  <c r="I25" i="2"/>
  <c r="I26" i="2"/>
  <c r="R114" i="2"/>
  <c r="I69" i="2"/>
  <c r="K26" i="2"/>
  <c r="D27" i="2"/>
  <c r="D21" i="2"/>
  <c r="D69" i="2"/>
  <c r="D26" i="2"/>
  <c r="D25" i="2"/>
  <c r="K17" i="2"/>
  <c r="K19" i="2" s="1"/>
  <c r="K69" i="2" s="1"/>
  <c r="K27" i="2"/>
  <c r="K25" i="2"/>
  <c r="L15" i="2"/>
  <c r="L26" i="2"/>
  <c r="L25" i="2"/>
  <c r="C15" i="2"/>
  <c r="C26" i="2"/>
  <c r="C25" i="2"/>
  <c r="H15" i="2"/>
  <c r="H25" i="2"/>
  <c r="H26" i="2"/>
  <c r="F15" i="2"/>
  <c r="F25" i="2"/>
  <c r="G15" i="2"/>
  <c r="G25" i="2"/>
  <c r="G26" i="2"/>
  <c r="E15" i="2"/>
  <c r="E25" i="2"/>
  <c r="E26" i="2"/>
  <c r="F26" i="2"/>
  <c r="S17" i="2" l="1"/>
  <c r="S19" i="2" s="1"/>
  <c r="S27" i="2"/>
  <c r="T17" i="2"/>
  <c r="T19" i="2" s="1"/>
  <c r="T27" i="2"/>
  <c r="S119" i="2"/>
  <c r="S118" i="2"/>
  <c r="T118" i="2"/>
  <c r="R17" i="2"/>
  <c r="R19" i="2" s="1"/>
  <c r="R27" i="2"/>
  <c r="K21" i="2"/>
  <c r="K28" i="2"/>
  <c r="G17" i="2"/>
  <c r="G19" i="2" s="1"/>
  <c r="G69" i="2" s="1"/>
  <c r="G27" i="2"/>
  <c r="F17" i="2"/>
  <c r="F19" i="2" s="1"/>
  <c r="F69" i="2" s="1"/>
  <c r="F27" i="2"/>
  <c r="H17" i="2"/>
  <c r="H19" i="2" s="1"/>
  <c r="H69" i="2" s="1"/>
  <c r="H27" i="2"/>
  <c r="C17" i="2"/>
  <c r="C19" i="2" s="1"/>
  <c r="C69" i="2" s="1"/>
  <c r="C27" i="2"/>
  <c r="E17" i="2"/>
  <c r="E19" i="2" s="1"/>
  <c r="E69" i="2" s="1"/>
  <c r="E27" i="2"/>
  <c r="L17" i="2"/>
  <c r="L19" i="2" s="1"/>
  <c r="L69" i="2" s="1"/>
  <c r="L27" i="2"/>
  <c r="R21" i="2" l="1"/>
  <c r="R28" i="2"/>
  <c r="R69" i="2"/>
  <c r="T21" i="2"/>
  <c r="T28" i="2"/>
  <c r="T69" i="2"/>
  <c r="S21" i="2"/>
  <c r="S28" i="2"/>
  <c r="S69" i="2"/>
  <c r="G21" i="2"/>
  <c r="G28" i="2"/>
  <c r="L21" i="2"/>
  <c r="L28" i="2"/>
  <c r="E21" i="2"/>
  <c r="E28" i="2"/>
  <c r="C21" i="2"/>
  <c r="C28" i="2"/>
  <c r="H21" i="2"/>
  <c r="H28" i="2"/>
  <c r="F21" i="2"/>
  <c r="F28" i="2"/>
</calcChain>
</file>

<file path=xl/sharedStrings.xml><?xml version="1.0" encoding="utf-8"?>
<sst xmlns="http://schemas.openxmlformats.org/spreadsheetml/2006/main" count="257" uniqueCount="228">
  <si>
    <t>P</t>
  </si>
  <si>
    <t>S/O</t>
  </si>
  <si>
    <t>MC</t>
  </si>
  <si>
    <t>C</t>
  </si>
  <si>
    <t>D</t>
  </si>
  <si>
    <t>EV</t>
  </si>
  <si>
    <t>Q4FY25</t>
  </si>
  <si>
    <t>Announced 250MW AI Data Center Leases With CoreWeave in North Dakota - Over
the approximately 15-year lease terms, Applied Digital anticipates generating
approximately $7 billion in contracted revenue from the leases</t>
  </si>
  <si>
    <t>Since the end of the Q425, CoreWeave exercised its option for additional 150MW, which would bring the total capacity leased by CoreWeave to
400MW and would add approximately $4 billion in contracted revenue, which would
bring total contracted revenue to approximately $11 billion for the approximately 15-
year lease terms.</t>
  </si>
  <si>
    <t>Main</t>
  </si>
  <si>
    <t>Revenue</t>
  </si>
  <si>
    <t>COGS</t>
  </si>
  <si>
    <t>Gross Profit</t>
  </si>
  <si>
    <t>SG&amp;A</t>
  </si>
  <si>
    <t>Abandonment of assets</t>
  </si>
  <si>
    <t>Legal settlement</t>
  </si>
  <si>
    <t>OpEx</t>
  </si>
  <si>
    <t>OpInc</t>
  </si>
  <si>
    <t>IntExp</t>
  </si>
  <si>
    <t>IntInc</t>
  </si>
  <si>
    <t>Other</t>
  </si>
  <si>
    <t>Pretax Income</t>
  </si>
  <si>
    <t>Taxes</t>
  </si>
  <si>
    <t>Net Income</t>
  </si>
  <si>
    <t>SO</t>
  </si>
  <si>
    <t>EPS</t>
  </si>
  <si>
    <t>Q425</t>
  </si>
  <si>
    <t>Q124</t>
  </si>
  <si>
    <t>Q224</t>
  </si>
  <si>
    <t>Q324</t>
  </si>
  <si>
    <t>Q424</t>
  </si>
  <si>
    <t>Q125</t>
  </si>
  <si>
    <t>Q225</t>
  </si>
  <si>
    <t>Q325</t>
  </si>
  <si>
    <t>Q126</t>
  </si>
  <si>
    <t>Q226</t>
  </si>
  <si>
    <t>Q326</t>
  </si>
  <si>
    <t>Q426</t>
  </si>
  <si>
    <t>Discontinued operation</t>
  </si>
  <si>
    <t>NI</t>
  </si>
  <si>
    <t>Op Margin</t>
  </si>
  <si>
    <t>Gross Margin</t>
  </si>
  <si>
    <t>Interest Margin</t>
  </si>
  <si>
    <t>Tax Margin</t>
  </si>
  <si>
    <t>Net Margin</t>
  </si>
  <si>
    <t>Revenue YoY</t>
  </si>
  <si>
    <t>Net Cash</t>
  </si>
  <si>
    <t>Cash</t>
  </si>
  <si>
    <t>Restricted/Funds for construction</t>
  </si>
  <si>
    <t>Restricted/Letters of credit</t>
  </si>
  <si>
    <t>A/R</t>
  </si>
  <si>
    <t>Prepaids and OCA</t>
  </si>
  <si>
    <t>Lease ROU</t>
  </si>
  <si>
    <t>Finance lease ROU</t>
  </si>
  <si>
    <t>ONCA</t>
  </si>
  <si>
    <t>Total Assets</t>
  </si>
  <si>
    <t>PP&amp;A</t>
  </si>
  <si>
    <t>A/P</t>
  </si>
  <si>
    <t>Accrued liabilities</t>
  </si>
  <si>
    <t>Lease, C</t>
  </si>
  <si>
    <t>Finance Lease, C</t>
  </si>
  <si>
    <t>Debt, C</t>
  </si>
  <si>
    <t>Custoemr deposits</t>
  </si>
  <si>
    <t>Deferred revenue</t>
  </si>
  <si>
    <t>Due to customer</t>
  </si>
  <si>
    <t>OCL</t>
  </si>
  <si>
    <t>Lease, NC</t>
  </si>
  <si>
    <t>Finance lease, NC</t>
  </si>
  <si>
    <t>Debt, NC</t>
  </si>
  <si>
    <t>Total liabilities</t>
  </si>
  <si>
    <t>SE</t>
  </si>
  <si>
    <t>L+SE</t>
  </si>
  <si>
    <t>PP&amp;A to Assets</t>
  </si>
  <si>
    <t>Assets held for sale, C</t>
  </si>
  <si>
    <t>FY2023</t>
  </si>
  <si>
    <t>FY2024</t>
  </si>
  <si>
    <t>FY2025</t>
  </si>
  <si>
    <t>FY2026</t>
  </si>
  <si>
    <t>FY2027</t>
  </si>
  <si>
    <t>FY2028</t>
  </si>
  <si>
    <t>FY2029</t>
  </si>
  <si>
    <t>FY2030</t>
  </si>
  <si>
    <t>Gain on held for sale</t>
  </si>
  <si>
    <t>Model NI</t>
  </si>
  <si>
    <t>GAAP NI</t>
  </si>
  <si>
    <t>D&amp;A</t>
  </si>
  <si>
    <t>Stock-based comp.</t>
  </si>
  <si>
    <t xml:space="preserve">Lease expense </t>
  </si>
  <si>
    <t>Deferred income taxes</t>
  </si>
  <si>
    <t>Extinguishement of debt</t>
  </si>
  <si>
    <t>Amortization of debt issuance costs</t>
  </si>
  <si>
    <t xml:space="preserve">Held for sale </t>
  </si>
  <si>
    <t>Debt</t>
  </si>
  <si>
    <t>Warrants</t>
  </si>
  <si>
    <t>Prepaids</t>
  </si>
  <si>
    <t>Other assets</t>
  </si>
  <si>
    <t xml:space="preserve">Deferred revenue </t>
  </si>
  <si>
    <t>Lease assets and liabilities</t>
  </si>
  <si>
    <t>CFFO</t>
  </si>
  <si>
    <t>CapEx</t>
  </si>
  <si>
    <t>Sale of assets</t>
  </si>
  <si>
    <t>Finance lease prepayments</t>
  </si>
  <si>
    <t>Purchase of investments</t>
  </si>
  <si>
    <t>CFFI</t>
  </si>
  <si>
    <t>Repayment of finance leases</t>
  </si>
  <si>
    <t>Borrowing of debt</t>
  </si>
  <si>
    <t>Repayment of debt</t>
  </si>
  <si>
    <t>Payment of deferred financing costs</t>
  </si>
  <si>
    <t xml:space="preserve">Tax payments for restricted stock upon vesting </t>
  </si>
  <si>
    <t xml:space="preserve">Issuance of common stock </t>
  </si>
  <si>
    <t>Issuance costs</t>
  </si>
  <si>
    <t>Issuance of preffered stock</t>
  </si>
  <si>
    <t>Dividends issued on preferred stock</t>
  </si>
  <si>
    <t>Proceeds from issuance of SAFE agreement debt</t>
  </si>
  <si>
    <t>Repurchase of shares</t>
  </si>
  <si>
    <t>Proceeds from convertible notes</t>
  </si>
  <si>
    <t>Purchase of capped call options</t>
  </si>
  <si>
    <t>Purhcase of prepaids forward contracts</t>
  </si>
  <si>
    <t>Noncontrolling interest contibutions</t>
  </si>
  <si>
    <t>CFFF</t>
  </si>
  <si>
    <t>CF</t>
  </si>
  <si>
    <t>FCF</t>
  </si>
  <si>
    <t>FCF YoY</t>
  </si>
  <si>
    <t>FCF Margin</t>
  </si>
  <si>
    <t>CapEx Margin</t>
  </si>
  <si>
    <t>Networking equipment, electrical equipment, and software</t>
  </si>
  <si>
    <t>Electric generation and transformers</t>
  </si>
  <si>
    <t>Buildings</t>
  </si>
  <si>
    <t>Land</t>
  </si>
  <si>
    <t>Land improvements</t>
  </si>
  <si>
    <t>Leasehold improvements</t>
  </si>
  <si>
    <t>Construction in progress</t>
  </si>
  <si>
    <t>Other equipment and fixtures</t>
  </si>
  <si>
    <t>Less: D&amp;A</t>
  </si>
  <si>
    <t>PP&amp;A, net</t>
  </si>
  <si>
    <t>Estimated Useful Life</t>
  </si>
  <si>
    <t>15 yr</t>
  </si>
  <si>
    <t>3-5 yr</t>
  </si>
  <si>
    <t>39 yr</t>
  </si>
  <si>
    <t>3-7 yr</t>
  </si>
  <si>
    <t>Segment Profit</t>
  </si>
  <si>
    <t>Data Center Hosting Business</t>
  </si>
  <si>
    <t>HPC Hosting Business</t>
  </si>
  <si>
    <t>Total</t>
  </si>
  <si>
    <t>Employees</t>
  </si>
  <si>
    <t>1)</t>
  </si>
  <si>
    <t>Applied Digital Adair</t>
  </si>
  <si>
    <t>1247 Fallow Ave
50002 Adair
Iowa, USA</t>
  </si>
  <si>
    <t>Plannet Capacity: 200 MW</t>
  </si>
  <si>
    <t>Investment: $1.5 bn</t>
  </si>
  <si>
    <t>Building Size: Two 300,000-square-foot buildings</t>
  </si>
  <si>
    <t>Power Source: NextEra Energy substation (connected to wind farms); direct connection to MidAmerican Energy grid</t>
  </si>
  <si>
    <t>Water Usage: Initial 200,000 gallons; minimal long-term impact</t>
  </si>
  <si>
    <t>Jobs (Full-Time): 	40-70</t>
  </si>
  <si>
    <t>Jobs (Construction): 50-200</t>
  </si>
  <si>
    <t>Primary Use: AI-driven workloads and hyperscale cloud services</t>
  </si>
  <si>
    <t>Community Concerns: Noise, zoning regulations, land use</t>
  </si>
  <si>
    <t>Planned As of Q4FY25</t>
  </si>
  <si>
    <t>2)</t>
  </si>
  <si>
    <t>Applied Digital Polaris Forge 1</t>
  </si>
  <si>
    <t>9685 87th Ave SE 
 58436 Ellendale
 North Dakota, USA</t>
  </si>
  <si>
    <t>Jobs	 45</t>
  </si>
  <si>
    <t>Key Features: High capacity, advanced liquid cooling, uses renewable energy</t>
  </si>
  <si>
    <t>Primary Use: High-Performance Computing (HPC) and Artificial Intelligence (AI)</t>
  </si>
  <si>
    <t>3)</t>
  </si>
  <si>
    <t>Applied Digital Polaris Forge 2</t>
  </si>
  <si>
    <t>58042 Harwood 
North Dakota, USA</t>
  </si>
  <si>
    <t>Investment</t>
  </si>
  <si>
    <t>$3 billion</t>
  </si>
  <si>
    <t>Planned Capacity</t>
  </si>
  <si>
    <t>280 MW, with ability to scale beyond</t>
  </si>
  <si>
    <t>Project Timeline</t>
  </si>
  <si>
    <t>Groundbreaking: September 2025; Initial Operations: 2026; Full Buildout: Early 2027</t>
  </si>
  <si>
    <t>Number of Buildings</t>
  </si>
  <si>
    <t>Initial two facilities, with capacity for future expansion</t>
  </si>
  <si>
    <t>Jobs</t>
  </si>
  <si>
    <t>More than 200 full-time employees, plus contractors</t>
  </si>
  <si>
    <t>Power Partners</t>
  </si>
  <si>
    <t>Cass County Electric Cooperative and Minnkota Power Cooperative</t>
  </si>
  <si>
    <t>Key Features</t>
  </si>
  <si>
    <t>Proprietary liquid-cooled infrastructure, leverages North Dakota's abundant energy and land</t>
  </si>
  <si>
    <t>Anchor Tenant</t>
  </si>
  <si>
    <t>U.S.-based investment-grade hyperscaler (in advanced negotiations)</t>
  </si>
  <si>
    <t>4)</t>
  </si>
  <si>
    <t>Applied Digital JMS</t>
  </si>
  <si>
    <t xml:space="preserve">2671 Highway 20 SE 
58401 Jamestown 
North Dakota, USA </t>
  </si>
  <si>
    <t xml:space="preserve">
Fully Built-Out Power	 5 MW</t>
  </si>
  <si>
    <t>5)</t>
  </si>
  <si>
    <t>Applied Digital Toronto</t>
  </si>
  <si>
    <t>57268 Toronto
South Dakota, USA</t>
  </si>
  <si>
    <t>430 MW</t>
  </si>
  <si>
    <t>Up to 200 high-paying jobs</t>
  </si>
  <si>
    <t>Leverages cold climate for natural cooling and reduced water consumption</t>
  </si>
  <si>
    <t>Building Size</t>
  </si>
  <si>
    <t>Two buildings, 907,000 sq ft each</t>
  </si>
  <si>
    <t>Primary Use</t>
  </si>
  <si>
    <t>AI-driven workloads and hyperscale cloud services</t>
  </si>
  <si>
    <t>Status</t>
  </si>
  <si>
    <t>Early stages; requires approval of zoning regulations and tax incentives</t>
  </si>
  <si>
    <t>Planned Capacity 280 MW (180 MW + 100 MW)</t>
  </si>
  <si>
    <t>Total Potential Capacity (MW):</t>
  </si>
  <si>
    <t>Campus Scale and Timeline: The Polaris Forge 1 campus is designed to scale up to 1 gigawatt. The first 100MW facility is scheduled to be operational in Q4 2025, the second 150MW facility in mid-2026, and the third 150MW facility in the first half of 2027.</t>
  </si>
  <si>
    <t>Operational Efficiency: The company has refined its building process, reducing the number of components and suppliers to create a more repeatable and streamlined process. This has reduced projected build times from 24 months to 12-14 months. The facilities feature a closed-loop, direct-to-chip liquid cooling system with a projected PUE of 1.18 and near-zero water consumption.</t>
  </si>
  <si>
    <t>Competitive Advantage: The company believes its experience onboarding and contracting with hyperscalers provides a competitive advantage. It is in negotiations with several investment-grade hyperscalers for large campuses, with one negotiation in an advanced stage. The company is also primarily focused on a "full stack" model (owning the full building and operations) rather than just powered shells.</t>
  </si>
  <si>
    <t>Ellendale Facility Update: The initial 100MW Ellendale facility is mostly completed, with the fit-out process underway. The company expects this facility to start ramping up in October or November of this year.</t>
  </si>
  <si>
    <r>
      <t xml:space="preserve">Other Business Segments: The company currently operates </t>
    </r>
    <r>
      <rPr>
        <b/>
        <sz val="10"/>
        <color theme="1"/>
        <rFont val="Arial"/>
        <family val="2"/>
      </rPr>
      <t xml:space="preserve">286MW </t>
    </r>
    <r>
      <rPr>
        <sz val="10"/>
        <color theme="1"/>
        <rFont val="Arial"/>
        <family val="2"/>
      </rPr>
      <t>of fully contracted data center hosting capacity for cryptocurrency customers across two locations in North Dakota. The company is also reviewing strategic alternatives for its Cloud Services business.</t>
    </r>
  </si>
  <si>
    <t>Polaris Forge 1, is being transitioned to support AI and HPC workloads. (280MW)</t>
  </si>
  <si>
    <t xml:space="preserve">Jamestown Facility: This is a Data Center Hosting facility for crypto mining with a capacity of 106 MW. </t>
  </si>
  <si>
    <t>Dilution QoQ</t>
  </si>
  <si>
    <t>Construction QoQ</t>
  </si>
  <si>
    <t>Cloud Servies business (Discountinued)</t>
  </si>
  <si>
    <t>Q1FY26</t>
  </si>
  <si>
    <t>APLD secures $50M loan, up to $590M in Series G Preferred Stock, and $112.5M equity investment for Polaris Forge data center projects.</t>
  </si>
  <si>
    <t>Expanded long-term lease with CoreWeave (public AI hyperscaler) to full 400 MW at Polaris Forge 1 (Ellendale, ND), up from 250 MW. Contract value ~$11B over 15 years (~$7B previous).</t>
  </si>
  <si>
    <t>Engaged for tenant fit-out on first 100 MW; deepens integration and value-add model.</t>
  </si>
  <si>
    <t>Polaris Forge 1 scalable beyond 1 GW (to ~1.4 GW) starting 2028-2030 with new transmission.</t>
  </si>
  <si>
    <t>Broke ground on Polaris Forge 2 (Harwood, ND): Initial 300 MW (two buildings), scalable to 1 GW+. Construction underway; first building online late 2026, full by 2027. Initial cost ~$3B.</t>
  </si>
  <si>
    <t>Advanced discussions with investment-grade hyperscaler for Polaris Forge 2 lease.</t>
  </si>
  <si>
    <t>Negotiations with two additional hyperscalers for new locations.</t>
  </si>
  <si>
    <t>700 MW under construction across sites; 4 GW active development pipeline (could move to construction in 6-12 months), plus more under review.</t>
  </si>
  <si>
    <t>Industry context: Hyperscalers investing ~$350B in AI infrastructure this year (vs. historical projects like U.S. Interstate at $500B over 30 years). Limiting factor shifted from GPUs to data centers ("AI factories").</t>
  </si>
  <si>
    <t>Company strengths: Early 2023 groundbreaking, proprietary design (PUE 1.18, near-zero water), expertise in power/land/supply chain, partnerships (e.g., Macquarie), Northern ND advantages (low-cost energy, natural cooling, supportive regs).</t>
  </si>
  <si>
    <t>Focus shifting from power availability to scaling development/construction; shortened timelines to 12-14 months. Influx of third-party power opportunities; expect at least one this year.</t>
  </si>
  <si>
    <t>Blockchain Hosting: 286 MW fully contracted across two ND sites; optimistic due to strong Bitcoin prices.</t>
  </si>
  <si>
    <t>Cloud Services: Under strategic Board review; classified as held for sale. No further updates until disposition plan.</t>
  </si>
  <si>
    <t>Current Ratio</t>
  </si>
  <si>
    <t>Debt-to-Equity</t>
  </si>
  <si>
    <t>Fixed Asset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</si>
</sst>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u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1">
    <xf numFmtId="0" fontId="0" fillId="0" borderId="0" xfId="0"/>
    <xf numFmtId="0" fontId="4" fillId="0" borderId="0" xfId="0" applyFont="1"/>
    <xf numFmtId="0" fontId="6" fillId="0" borderId="0" xfId="1"/>
    <xf numFmtId="164" fontId="4" fillId="0" borderId="0" xfId="0" applyNumberFormat="1" applyFont="1"/>
    <xf numFmtId="164" fontId="5" fillId="0" borderId="0" xfId="0" applyNumberFormat="1" applyFont="1"/>
    <xf numFmtId="4" fontId="5" fillId="0" borderId="0" xfId="0" applyNumberFormat="1" applyFont="1"/>
    <xf numFmtId="0" fontId="3" fillId="0" borderId="0" xfId="0" applyFont="1"/>
    <xf numFmtId="3" fontId="3" fillId="0" borderId="0" xfId="0" applyNumberFormat="1" applyFont="1"/>
    <xf numFmtId="10" fontId="3" fillId="0" borderId="0" xfId="0" applyNumberFormat="1" applyFont="1"/>
    <xf numFmtId="10" fontId="4" fillId="0" borderId="0" xfId="0" applyNumberFormat="1" applyFont="1"/>
    <xf numFmtId="0" fontId="5" fillId="0" borderId="0" xfId="0" applyFont="1"/>
    <xf numFmtId="164" fontId="3" fillId="0" borderId="0" xfId="0" applyNumberFormat="1" applyFont="1"/>
    <xf numFmtId="0" fontId="8" fillId="0" borderId="0" xfId="0" applyFont="1"/>
    <xf numFmtId="0" fontId="8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164" fontId="8" fillId="0" borderId="0" xfId="0" applyNumberFormat="1" applyFont="1"/>
    <xf numFmtId="14" fontId="3" fillId="0" borderId="0" xfId="0" applyNumberFormat="1" applyFont="1"/>
    <xf numFmtId="164" fontId="2" fillId="0" borderId="0" xfId="0" applyNumberFormat="1" applyFont="1"/>
    <xf numFmtId="0" fontId="2" fillId="0" borderId="0" xfId="0" applyFont="1"/>
    <xf numFmtId="4" fontId="4" fillId="0" borderId="0" xfId="0" applyNumberFormat="1" applyFont="1"/>
    <xf numFmtId="4" fontId="2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205741</xdr:colOff>
      <xdr:row>0</xdr:row>
      <xdr:rowOff>45720</xdr:rowOff>
    </xdr:from>
    <xdr:to>
      <xdr:col>9</xdr:col>
      <xdr:colOff>251462</xdr:colOff>
      <xdr:row>11</xdr:row>
      <xdr:rowOff>123462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23D66AA-42C1-DE08-37B4-5789ED37E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2941" y="45720"/>
          <a:ext cx="1264920" cy="1950085"/>
        </a:xfrm>
        <a:prstGeom prst="rect">
          <a:avLst/>
        </a:prstGeom>
      </xdr:spPr>
    </xdr:pic>
    <xdr:clientData/>
  </xdr:twoCellAnchor>
  <xdr:twoCellAnchor editAs="oneCell">
    <xdr:from>
      <xdr:col>9</xdr:col>
      <xdr:colOff>295196</xdr:colOff>
      <xdr:row>0</xdr:row>
      <xdr:rowOff>15240</xdr:rowOff>
    </xdr:from>
    <xdr:to>
      <xdr:col>14</xdr:col>
      <xdr:colOff>543243</xdr:colOff>
      <xdr:row>5</xdr:row>
      <xdr:rowOff>101589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CFB64E1-6703-625C-8DBD-D113F6ADB6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81596" y="15240"/>
          <a:ext cx="3296047" cy="924549"/>
        </a:xfrm>
        <a:prstGeom prst="rect">
          <a:avLst/>
        </a:prstGeom>
      </xdr:spPr>
    </xdr:pic>
    <xdr:clientData/>
  </xdr:twoCellAnchor>
  <xdr:twoCellAnchor editAs="oneCell">
    <xdr:from>
      <xdr:col>9</xdr:col>
      <xdr:colOff>320564</xdr:colOff>
      <xdr:row>4</xdr:row>
      <xdr:rowOff>75449</xdr:rowOff>
    </xdr:from>
    <xdr:to>
      <xdr:col>12</xdr:col>
      <xdr:colOff>152399</xdr:colOff>
      <xdr:row>11</xdr:row>
      <xdr:rowOff>105002</xdr:rowOff>
    </xdr:to>
    <xdr:pic>
      <xdr:nvPicPr>
        <xdr:cNvPr id="6" name="Picture 5" descr="Applied Digital Garden City - now Marathon Digital">
          <a:extLst>
            <a:ext uri="{FF2B5EF4-FFF2-40B4-BE49-F238E27FC236}">
              <a16:creationId xmlns:a16="http://schemas.microsoft.com/office/drawing/2014/main" id="{A937A4C3-D734-4AEA-EB4B-FD752BAB34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06964" y="728592"/>
          <a:ext cx="1660635" cy="12160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250372</xdr:colOff>
      <xdr:row>14</xdr:row>
      <xdr:rowOff>0</xdr:rowOff>
    </xdr:from>
    <xdr:to>
      <xdr:col>10</xdr:col>
      <xdr:colOff>165005</xdr:colOff>
      <xdr:row>23</xdr:row>
      <xdr:rowOff>152399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39D896C-F33C-5165-EAA1-2D8DF74825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517572" y="2329543"/>
          <a:ext cx="1743432" cy="1665513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27</xdr:row>
      <xdr:rowOff>0</xdr:rowOff>
    </xdr:from>
    <xdr:to>
      <xdr:col>18</xdr:col>
      <xdr:colOff>304800</xdr:colOff>
      <xdr:row>28</xdr:row>
      <xdr:rowOff>136715</xdr:rowOff>
    </xdr:to>
    <xdr:sp macro="" textlink="">
      <xdr:nvSpPr>
        <xdr:cNvPr id="3076" name="AutoShape 4" descr="Applied Digital enters 250MW AI data center lease With AI hyperscaler in  North Dakota | Digital Infra Network">
          <a:extLst>
            <a:ext uri="{FF2B5EF4-FFF2-40B4-BE49-F238E27FC236}">
              <a16:creationId xmlns:a16="http://schemas.microsoft.com/office/drawing/2014/main" id="{63EDADBF-DB0E-BF54-F5B4-DF103DF9F097}"/>
            </a:ext>
          </a:extLst>
        </xdr:cNvPr>
        <xdr:cNvSpPr>
          <a:spLocks noChangeAspect="1" noChangeArrowheads="1"/>
        </xdr:cNvSpPr>
      </xdr:nvSpPr>
      <xdr:spPr bwMode="auto">
        <a:xfrm>
          <a:off x="10972800" y="5074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272144</xdr:colOff>
      <xdr:row>14</xdr:row>
      <xdr:rowOff>24230</xdr:rowOff>
    </xdr:from>
    <xdr:to>
      <xdr:col>14</xdr:col>
      <xdr:colOff>574266</xdr:colOff>
      <xdr:row>23</xdr:row>
      <xdr:rowOff>24580</xdr:rowOff>
    </xdr:to>
    <xdr:pic>
      <xdr:nvPicPr>
        <xdr:cNvPr id="9" name="Picture 8" descr="Applied Digital finalises CoreWeave lease in North Dakota | Capacity Media">
          <a:extLst>
            <a:ext uri="{FF2B5EF4-FFF2-40B4-BE49-F238E27FC236}">
              <a16:creationId xmlns:a16="http://schemas.microsoft.com/office/drawing/2014/main" id="{19F56145-390B-E3B1-E982-BDAB01D926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3499" y="2457714"/>
          <a:ext cx="2760186" cy="1573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184953</xdr:colOff>
      <xdr:row>25</xdr:row>
      <xdr:rowOff>27090</xdr:rowOff>
    </xdr:from>
    <xdr:to>
      <xdr:col>14</xdr:col>
      <xdr:colOff>577647</xdr:colOff>
      <xdr:row>34</xdr:row>
      <xdr:rowOff>103179</xdr:rowOff>
    </xdr:to>
    <xdr:pic>
      <xdr:nvPicPr>
        <xdr:cNvPr id="10" name="Picture 9" descr="Applied Digital Site Rendering">
          <a:extLst>
            <a:ext uri="{FF2B5EF4-FFF2-40B4-BE49-F238E27FC236}">
              <a16:creationId xmlns:a16="http://schemas.microsoft.com/office/drawing/2014/main" id="{5877C5A8-F14E-15F8-8E03-CD50258B0F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6308" y="4549929"/>
          <a:ext cx="2850758" cy="16246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370115</xdr:colOff>
      <xdr:row>37</xdr:row>
      <xdr:rowOff>10887</xdr:rowOff>
    </xdr:from>
    <xdr:to>
      <xdr:col>8</xdr:col>
      <xdr:colOff>402771</xdr:colOff>
      <xdr:row>44</xdr:row>
      <xdr:rowOff>51211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1CCA90C-53F2-8086-6194-44923E3A1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550229" y="6161316"/>
          <a:ext cx="1251856" cy="1183324"/>
        </a:xfrm>
        <a:prstGeom prst="rect">
          <a:avLst/>
        </a:prstGeom>
      </xdr:spPr>
    </xdr:pic>
    <xdr:clientData/>
  </xdr:twoCellAnchor>
  <xdr:twoCellAnchor editAs="oneCell">
    <xdr:from>
      <xdr:col>14</xdr:col>
      <xdr:colOff>576942</xdr:colOff>
      <xdr:row>15</xdr:row>
      <xdr:rowOff>10885</xdr:rowOff>
    </xdr:from>
    <xdr:to>
      <xdr:col>16</xdr:col>
      <xdr:colOff>555171</xdr:colOff>
      <xdr:row>21</xdr:row>
      <xdr:rowOff>99995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3F5C3B25-15F9-CCAB-E3D3-79309E86AB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633856" y="2503714"/>
          <a:ext cx="1197429" cy="10905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egaMukhigulashvili\Desktop\Excel\Data%20Centers.xlsx" TargetMode="External"/><Relationship Id="rId1" Type="http://schemas.openxmlformats.org/officeDocument/2006/relationships/externalLinkPath" Target="Data%20Cente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</sheetNames>
    <sheetDataSet>
      <sheetData sheetId="0">
        <row r="12">
          <cell r="D12">
            <v>33.35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J6:P19"/>
  <sheetViews>
    <sheetView workbookViewId="0">
      <selection activeCell="L14" sqref="L14"/>
    </sheetView>
  </sheetViews>
  <sheetFormatPr defaultRowHeight="13.2" x14ac:dyDescent="0.25"/>
  <cols>
    <col min="1" max="16384" width="8.88671875" style="1"/>
  </cols>
  <sheetData>
    <row r="6" spans="10:16" x14ac:dyDescent="0.25">
      <c r="N6" s="10" t="s">
        <v>211</v>
      </c>
      <c r="O6" s="10"/>
      <c r="P6" s="10" t="s">
        <v>6</v>
      </c>
    </row>
    <row r="7" spans="10:16" x14ac:dyDescent="0.25">
      <c r="J7" s="1" t="s">
        <v>0</v>
      </c>
      <c r="K7" s="19">
        <f>[1]Main!$D$12</f>
        <v>33.35</v>
      </c>
      <c r="N7" s="18" t="s">
        <v>212</v>
      </c>
      <c r="P7" s="1" t="s">
        <v>7</v>
      </c>
    </row>
    <row r="8" spans="10:16" x14ac:dyDescent="0.25">
      <c r="J8" s="1" t="s">
        <v>1</v>
      </c>
      <c r="K8" s="3">
        <v>279.68587500000001</v>
      </c>
      <c r="L8" s="6" t="s">
        <v>6</v>
      </c>
      <c r="M8" s="6"/>
      <c r="N8" s="18" t="s">
        <v>213</v>
      </c>
      <c r="P8" s="1" t="s">
        <v>8</v>
      </c>
    </row>
    <row r="9" spans="10:16" x14ac:dyDescent="0.25">
      <c r="J9" s="1" t="s">
        <v>2</v>
      </c>
      <c r="K9" s="3">
        <f>K7*K8</f>
        <v>9327.5239312500016</v>
      </c>
      <c r="N9" s="18" t="s">
        <v>214</v>
      </c>
      <c r="P9" s="6" t="s">
        <v>201</v>
      </c>
    </row>
    <row r="10" spans="10:16" x14ac:dyDescent="0.25">
      <c r="J10" s="1" t="s">
        <v>3</v>
      </c>
      <c r="K10" s="3">
        <f>+Model!K35</f>
        <v>73.911000000000001</v>
      </c>
      <c r="L10" s="6" t="s">
        <v>6</v>
      </c>
      <c r="M10" s="6"/>
      <c r="N10" s="18" t="s">
        <v>215</v>
      </c>
      <c r="P10" s="6" t="s">
        <v>202</v>
      </c>
    </row>
    <row r="11" spans="10:16" x14ac:dyDescent="0.25">
      <c r="J11" s="1" t="s">
        <v>4</v>
      </c>
      <c r="K11" s="3">
        <f>+Model!K50+Model!K57</f>
        <v>687.33899999999994</v>
      </c>
      <c r="L11" s="6" t="s">
        <v>6</v>
      </c>
      <c r="M11" s="6"/>
      <c r="N11" s="18" t="s">
        <v>216</v>
      </c>
      <c r="P11" s="6" t="s">
        <v>203</v>
      </c>
    </row>
    <row r="12" spans="10:16" x14ac:dyDescent="0.25">
      <c r="K12" s="3"/>
      <c r="N12" s="18" t="s">
        <v>217</v>
      </c>
      <c r="P12" s="6" t="s">
        <v>204</v>
      </c>
    </row>
    <row r="13" spans="10:16" x14ac:dyDescent="0.25">
      <c r="J13" s="1" t="s">
        <v>5</v>
      </c>
      <c r="K13" s="3">
        <f>+K9-K10+K11+6.932+56.796</f>
        <v>10004.679931250002</v>
      </c>
      <c r="N13" s="18" t="s">
        <v>218</v>
      </c>
      <c r="P13" s="6" t="s">
        <v>205</v>
      </c>
    </row>
    <row r="14" spans="10:16" x14ac:dyDescent="0.25">
      <c r="N14" s="18" t="s">
        <v>219</v>
      </c>
    </row>
    <row r="15" spans="10:16" x14ac:dyDescent="0.25">
      <c r="N15" s="18" t="s">
        <v>220</v>
      </c>
      <c r="P15" s="6" t="s">
        <v>206</v>
      </c>
    </row>
    <row r="16" spans="10:16" x14ac:dyDescent="0.25">
      <c r="N16" s="18" t="s">
        <v>221</v>
      </c>
      <c r="P16" s="6" t="s">
        <v>207</v>
      </c>
    </row>
    <row r="17" spans="14:14" x14ac:dyDescent="0.25">
      <c r="N17" s="18" t="s">
        <v>222</v>
      </c>
    </row>
    <row r="18" spans="14:14" x14ac:dyDescent="0.25">
      <c r="N18" s="18" t="s">
        <v>223</v>
      </c>
    </row>
    <row r="19" spans="14:14" x14ac:dyDescent="0.25">
      <c r="N19" s="18" t="s">
        <v>224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351A7-EE32-4D6D-8218-056C2A96C92A}">
  <dimension ref="A1:Y158"/>
  <sheetViews>
    <sheetView tabSelected="1" workbookViewId="0">
      <pane xSplit="2" ySplit="2" topLeftCell="C86" activePane="bottomRight" state="frozen"/>
      <selection pane="topRight" activeCell="C1" sqref="C1"/>
      <selection pane="bottomLeft" activeCell="A3" sqref="A3"/>
      <selection pane="bottomRight" activeCell="K106" sqref="K106"/>
    </sheetView>
  </sheetViews>
  <sheetFormatPr defaultRowHeight="13.2" x14ac:dyDescent="0.25"/>
  <cols>
    <col min="1" max="5" width="8.88671875" style="1"/>
    <col min="6" max="6" width="9.21875" style="1" bestFit="1" customWidth="1"/>
    <col min="7" max="16384" width="8.88671875" style="1"/>
  </cols>
  <sheetData>
    <row r="1" spans="1:25" ht="14.4" x14ac:dyDescent="0.3">
      <c r="A1" s="2" t="s">
        <v>9</v>
      </c>
    </row>
    <row r="2" spans="1:25" x14ac:dyDescent="0.25">
      <c r="C2" s="1" t="s">
        <v>27</v>
      </c>
      <c r="D2" s="1" t="s">
        <v>28</v>
      </c>
      <c r="E2" s="1" t="s">
        <v>29</v>
      </c>
      <c r="F2" s="1" t="s">
        <v>30</v>
      </c>
      <c r="G2" s="1" t="s">
        <v>31</v>
      </c>
      <c r="H2" s="1" t="s">
        <v>32</v>
      </c>
      <c r="I2" s="1" t="s">
        <v>33</v>
      </c>
      <c r="J2" s="1" t="s">
        <v>26</v>
      </c>
      <c r="K2" s="1" t="s">
        <v>34</v>
      </c>
      <c r="L2" s="1" t="s">
        <v>35</v>
      </c>
      <c r="M2" s="1" t="s">
        <v>36</v>
      </c>
      <c r="N2" s="1" t="s">
        <v>37</v>
      </c>
      <c r="R2" s="6" t="s">
        <v>74</v>
      </c>
      <c r="S2" s="6" t="s">
        <v>75</v>
      </c>
      <c r="T2" s="6" t="s">
        <v>76</v>
      </c>
      <c r="U2" s="6" t="s">
        <v>77</v>
      </c>
      <c r="V2" s="6" t="s">
        <v>78</v>
      </c>
      <c r="W2" s="6" t="s">
        <v>79</v>
      </c>
      <c r="X2" s="6" t="s">
        <v>80</v>
      </c>
      <c r="Y2" s="6" t="s">
        <v>81</v>
      </c>
    </row>
    <row r="3" spans="1:25" s="3" customFormat="1" x14ac:dyDescent="0.25">
      <c r="B3" s="3" t="s">
        <v>10</v>
      </c>
      <c r="C3" s="3">
        <v>36.323</v>
      </c>
      <c r="D3" s="3">
        <v>42.203000000000003</v>
      </c>
      <c r="E3" s="3">
        <v>43.347999999999999</v>
      </c>
      <c r="F3" s="3">
        <v>26.898</v>
      </c>
      <c r="G3" s="3">
        <v>60.704000000000001</v>
      </c>
      <c r="H3" s="3">
        <v>63.868000000000002</v>
      </c>
      <c r="I3" s="3">
        <v>52.920999999999999</v>
      </c>
      <c r="J3" s="3">
        <v>38.012999999999998</v>
      </c>
      <c r="K3" s="3">
        <v>64.215999999999994</v>
      </c>
      <c r="R3" s="3">
        <v>55.392000000000003</v>
      </c>
      <c r="S3" s="3">
        <v>136.61799999999999</v>
      </c>
      <c r="T3" s="3">
        <v>144.19300000000001</v>
      </c>
    </row>
    <row r="4" spans="1:25" s="3" customFormat="1" x14ac:dyDescent="0.25">
      <c r="B4" s="3" t="s">
        <v>11</v>
      </c>
      <c r="C4" s="3">
        <v>25.221</v>
      </c>
      <c r="D4" s="3">
        <v>29.768999999999998</v>
      </c>
      <c r="E4" s="3">
        <v>47.061</v>
      </c>
      <c r="F4" s="3">
        <v>22.776</v>
      </c>
      <c r="G4" s="3">
        <v>61.06</v>
      </c>
      <c r="H4" s="3">
        <v>52.360999999999997</v>
      </c>
      <c r="I4" s="3">
        <v>49.140999999999998</v>
      </c>
      <c r="J4" s="3">
        <v>30.247</v>
      </c>
      <c r="K4" s="3">
        <v>55.606000000000002</v>
      </c>
      <c r="R4" s="3">
        <v>44.387999999999998</v>
      </c>
      <c r="S4" s="3">
        <v>106.65300000000001</v>
      </c>
      <c r="T4" s="3">
        <v>101.45099999999999</v>
      </c>
    </row>
    <row r="5" spans="1:25" s="4" customFormat="1" x14ac:dyDescent="0.25">
      <c r="B5" s="4" t="s">
        <v>12</v>
      </c>
      <c r="C5" s="4">
        <f t="shared" ref="C5:I5" si="0">C3-C4</f>
        <v>11.102</v>
      </c>
      <c r="D5" s="4">
        <f t="shared" si="0"/>
        <v>12.434000000000005</v>
      </c>
      <c r="E5" s="4">
        <f t="shared" si="0"/>
        <v>-3.713000000000001</v>
      </c>
      <c r="F5" s="4">
        <f t="shared" si="0"/>
        <v>4.1219999999999999</v>
      </c>
      <c r="G5" s="4">
        <f t="shared" si="0"/>
        <v>-0.35600000000000165</v>
      </c>
      <c r="H5" s="4">
        <f t="shared" si="0"/>
        <v>11.507000000000005</v>
      </c>
      <c r="I5" s="4">
        <f t="shared" si="0"/>
        <v>3.7800000000000011</v>
      </c>
      <c r="J5" s="4">
        <f>J3-J4</f>
        <v>7.7659999999999982</v>
      </c>
      <c r="K5" s="4">
        <f t="shared" ref="K5:N5" si="1">K3-K4</f>
        <v>8.6099999999999923</v>
      </c>
      <c r="L5" s="4">
        <f t="shared" si="1"/>
        <v>0</v>
      </c>
      <c r="M5" s="4">
        <f t="shared" si="1"/>
        <v>0</v>
      </c>
      <c r="N5" s="4">
        <f t="shared" si="1"/>
        <v>0</v>
      </c>
      <c r="R5" s="4">
        <f t="shared" ref="R5:U5" si="2">R3-R4</f>
        <v>11.004000000000005</v>
      </c>
      <c r="S5" s="4">
        <f t="shared" si="2"/>
        <v>29.964999999999989</v>
      </c>
      <c r="T5" s="4">
        <f t="shared" si="2"/>
        <v>42.742000000000019</v>
      </c>
      <c r="U5" s="4">
        <f t="shared" si="2"/>
        <v>0</v>
      </c>
    </row>
    <row r="6" spans="1:25" s="3" customFormat="1" x14ac:dyDescent="0.25">
      <c r="B6" s="3" t="s">
        <v>13</v>
      </c>
      <c r="C6" s="3">
        <v>16.170000000000002</v>
      </c>
      <c r="D6" s="3">
        <v>20.265999999999998</v>
      </c>
      <c r="E6" s="3">
        <v>30.02</v>
      </c>
      <c r="F6" s="3">
        <v>13.079000000000001</v>
      </c>
      <c r="G6" s="3">
        <v>14.340999999999999</v>
      </c>
      <c r="H6" s="3">
        <v>29.789000000000001</v>
      </c>
      <c r="I6" s="3">
        <v>22.722999999999999</v>
      </c>
      <c r="J6" s="3">
        <v>28.096</v>
      </c>
      <c r="K6" s="3">
        <v>29.152000000000001</v>
      </c>
      <c r="R6" s="3">
        <v>53.914999999999999</v>
      </c>
      <c r="S6" s="3">
        <v>45.02</v>
      </c>
      <c r="T6" s="3">
        <v>83.064999999999998</v>
      </c>
    </row>
    <row r="7" spans="1:25" s="3" customFormat="1" x14ac:dyDescent="0.25">
      <c r="B7" s="11" t="s">
        <v>82</v>
      </c>
      <c r="E7" s="3">
        <v>21.722999999999999</v>
      </c>
      <c r="F7" s="3">
        <v>-6.306</v>
      </c>
      <c r="G7" s="3">
        <v>-24.808</v>
      </c>
      <c r="H7" s="3">
        <v>0.192</v>
      </c>
      <c r="J7" s="3">
        <v>0</v>
      </c>
      <c r="S7" s="3">
        <v>15.417</v>
      </c>
      <c r="T7" s="3">
        <v>-24.616</v>
      </c>
    </row>
    <row r="8" spans="1:25" s="3" customFormat="1" x14ac:dyDescent="0.25">
      <c r="B8" s="3" t="s">
        <v>14</v>
      </c>
      <c r="G8" s="3">
        <v>0.628</v>
      </c>
      <c r="H8" s="3">
        <v>0.14099999999999999</v>
      </c>
      <c r="J8" s="3">
        <v>0.36899999999999999</v>
      </c>
      <c r="K8" s="3">
        <v>1.7509999999999999</v>
      </c>
      <c r="T8" s="3">
        <v>1.1379999999999999</v>
      </c>
    </row>
    <row r="9" spans="1:25" s="3" customFormat="1" x14ac:dyDescent="0.25">
      <c r="B9" s="3" t="s">
        <v>15</v>
      </c>
      <c r="C9" s="3">
        <v>2.2999999999999998</v>
      </c>
      <c r="D9" s="3">
        <v>0.08</v>
      </c>
      <c r="J9" s="3">
        <v>0</v>
      </c>
      <c r="S9" s="3">
        <v>2.38</v>
      </c>
    </row>
    <row r="10" spans="1:25" s="4" customFormat="1" x14ac:dyDescent="0.25">
      <c r="B10" s="4" t="s">
        <v>16</v>
      </c>
      <c r="C10" s="4">
        <f t="shared" ref="C10:H10" si="3">SUM(C6:C9)</f>
        <v>18.470000000000002</v>
      </c>
      <c r="D10" s="4">
        <f t="shared" si="3"/>
        <v>20.345999999999997</v>
      </c>
      <c r="E10" s="4">
        <f t="shared" si="3"/>
        <v>51.742999999999995</v>
      </c>
      <c r="F10" s="4">
        <f t="shared" si="3"/>
        <v>6.7730000000000006</v>
      </c>
      <c r="G10" s="4">
        <f t="shared" si="3"/>
        <v>-9.8390000000000004</v>
      </c>
      <c r="H10" s="4">
        <f t="shared" si="3"/>
        <v>30.122</v>
      </c>
      <c r="I10" s="4">
        <f>SUM(I6:I9)</f>
        <v>22.722999999999999</v>
      </c>
      <c r="J10" s="4">
        <f>SUM(J6:J9)</f>
        <v>28.465</v>
      </c>
      <c r="K10" s="4">
        <f t="shared" ref="K10:N10" si="4">SUM(K6:K9)</f>
        <v>30.903000000000002</v>
      </c>
      <c r="L10" s="4">
        <f t="shared" si="4"/>
        <v>0</v>
      </c>
      <c r="M10" s="4">
        <f t="shared" si="4"/>
        <v>0</v>
      </c>
      <c r="N10" s="4">
        <f t="shared" si="4"/>
        <v>0</v>
      </c>
      <c r="R10" s="4">
        <f t="shared" ref="R10:U10" si="5">SUM(R6:R9)</f>
        <v>53.914999999999999</v>
      </c>
      <c r="S10" s="4">
        <f t="shared" si="5"/>
        <v>62.817000000000007</v>
      </c>
      <c r="T10" s="4">
        <f t="shared" si="5"/>
        <v>59.586999999999996</v>
      </c>
      <c r="U10" s="4">
        <f t="shared" si="5"/>
        <v>0</v>
      </c>
    </row>
    <row r="11" spans="1:25" s="4" customFormat="1" x14ac:dyDescent="0.25">
      <c r="B11" s="4" t="s">
        <v>17</v>
      </c>
      <c r="C11" s="4">
        <f t="shared" ref="C11:H11" si="6">C5-C10</f>
        <v>-7.3680000000000021</v>
      </c>
      <c r="D11" s="4">
        <f t="shared" si="6"/>
        <v>-7.9119999999999919</v>
      </c>
      <c r="E11" s="4">
        <f t="shared" si="6"/>
        <v>-55.455999999999996</v>
      </c>
      <c r="F11" s="4">
        <f t="shared" si="6"/>
        <v>-2.6510000000000007</v>
      </c>
      <c r="G11" s="4">
        <f t="shared" si="6"/>
        <v>9.4829999999999988</v>
      </c>
      <c r="H11" s="4">
        <f t="shared" si="6"/>
        <v>-18.614999999999995</v>
      </c>
      <c r="I11" s="4">
        <f>I5-I10</f>
        <v>-18.942999999999998</v>
      </c>
      <c r="J11" s="4">
        <f>J5-J10</f>
        <v>-20.699000000000002</v>
      </c>
      <c r="K11" s="4">
        <f t="shared" ref="K11:N11" si="7">K5-K10</f>
        <v>-22.29300000000001</v>
      </c>
      <c r="L11" s="4">
        <f t="shared" si="7"/>
        <v>0</v>
      </c>
      <c r="M11" s="4">
        <f t="shared" si="7"/>
        <v>0</v>
      </c>
      <c r="N11" s="4">
        <f t="shared" si="7"/>
        <v>0</v>
      </c>
      <c r="R11" s="4">
        <f t="shared" ref="R11:U11" si="8">R5-R10</f>
        <v>-42.910999999999994</v>
      </c>
      <c r="S11" s="4">
        <f t="shared" si="8"/>
        <v>-32.852000000000018</v>
      </c>
      <c r="T11" s="4">
        <f t="shared" si="8"/>
        <v>-16.844999999999978</v>
      </c>
      <c r="U11" s="4">
        <f t="shared" si="8"/>
        <v>0</v>
      </c>
    </row>
    <row r="12" spans="1:25" s="3" customFormat="1" x14ac:dyDescent="0.25">
      <c r="B12" s="3" t="s">
        <v>18</v>
      </c>
      <c r="C12" s="3">
        <v>2.133</v>
      </c>
      <c r="D12" s="3">
        <v>2.617</v>
      </c>
      <c r="E12" s="3">
        <v>4.7699999999999996</v>
      </c>
      <c r="F12" s="3">
        <v>13.814</v>
      </c>
      <c r="G12" s="3">
        <v>7.3079999999999998</v>
      </c>
      <c r="H12" s="3">
        <v>7.4820000000000002</v>
      </c>
      <c r="I12" s="3">
        <v>8.8970000000000002</v>
      </c>
      <c r="J12" s="3">
        <v>4.4969999999999999</v>
      </c>
      <c r="K12" s="3">
        <v>3.9460000000000002</v>
      </c>
      <c r="R12" s="3">
        <v>2</v>
      </c>
      <c r="S12" s="3">
        <v>17.7</v>
      </c>
      <c r="T12" s="3">
        <v>14.739000000000001</v>
      </c>
    </row>
    <row r="13" spans="1:25" s="3" customFormat="1" x14ac:dyDescent="0.25">
      <c r="B13" s="3" t="s">
        <v>19</v>
      </c>
      <c r="E13" s="3">
        <v>0</v>
      </c>
      <c r="F13" s="3">
        <v>0</v>
      </c>
      <c r="I13" s="3">
        <v>0</v>
      </c>
      <c r="J13" s="3">
        <v>0</v>
      </c>
    </row>
    <row r="14" spans="1:25" s="3" customFormat="1" x14ac:dyDescent="0.25">
      <c r="B14" s="3" t="s">
        <v>20</v>
      </c>
      <c r="C14" s="3">
        <v>2.3530000000000002</v>
      </c>
      <c r="E14" s="3">
        <v>2.6120000000000001</v>
      </c>
      <c r="F14" s="3">
        <f>4.789+8.116+0.154+5.696</f>
        <v>18.754999999999999</v>
      </c>
      <c r="G14" s="3">
        <v>6.4219999999999997</v>
      </c>
      <c r="H14" s="3">
        <f>25.41+87.218</f>
        <v>112.628</v>
      </c>
      <c r="I14" s="3">
        <f>1.177+6.421</f>
        <v>7.5980000000000008</v>
      </c>
      <c r="J14" s="3">
        <v>0</v>
      </c>
      <c r="R14" s="3">
        <v>9.4E-2</v>
      </c>
      <c r="S14" s="3">
        <f>7.4+8.116+2.5+5.696</f>
        <v>23.711999999999996</v>
      </c>
      <c r="T14" s="3">
        <f>33.612+85.439+1.177+6.421</f>
        <v>126.649</v>
      </c>
    </row>
    <row r="15" spans="1:25" s="4" customFormat="1" x14ac:dyDescent="0.25">
      <c r="B15" s="4" t="s">
        <v>21</v>
      </c>
      <c r="C15" s="4">
        <f t="shared" ref="C15:H15" si="9">C11-C12-C13-C14</f>
        <v>-11.854000000000001</v>
      </c>
      <c r="D15" s="4">
        <f t="shared" si="9"/>
        <v>-10.528999999999993</v>
      </c>
      <c r="E15" s="4">
        <f t="shared" si="9"/>
        <v>-62.838000000000001</v>
      </c>
      <c r="F15" s="4">
        <f t="shared" si="9"/>
        <v>-35.22</v>
      </c>
      <c r="G15" s="4">
        <f t="shared" si="9"/>
        <v>-4.2470000000000008</v>
      </c>
      <c r="H15" s="4">
        <f t="shared" si="9"/>
        <v>-138.72499999999999</v>
      </c>
      <c r="I15" s="4">
        <f>I11-I12-I13-I14</f>
        <v>-35.437999999999995</v>
      </c>
      <c r="J15" s="4">
        <f>J11-J12-J13-J14</f>
        <v>-25.196000000000002</v>
      </c>
      <c r="K15" s="4">
        <f t="shared" ref="K15:N15" si="10">K11-K12-K13-K14</f>
        <v>-26.239000000000011</v>
      </c>
      <c r="L15" s="4">
        <f t="shared" si="10"/>
        <v>0</v>
      </c>
      <c r="M15" s="4">
        <f t="shared" si="10"/>
        <v>0</v>
      </c>
      <c r="N15" s="4">
        <f t="shared" si="10"/>
        <v>0</v>
      </c>
      <c r="R15" s="4">
        <f t="shared" ref="R15:U15" si="11">R11-R12-R13-R14</f>
        <v>-45.004999999999995</v>
      </c>
      <c r="S15" s="4">
        <f t="shared" si="11"/>
        <v>-74.26400000000001</v>
      </c>
      <c r="T15" s="4">
        <f t="shared" si="11"/>
        <v>-158.23299999999998</v>
      </c>
      <c r="U15" s="4">
        <f t="shared" si="11"/>
        <v>0</v>
      </c>
    </row>
    <row r="16" spans="1:25" s="3" customFormat="1" x14ac:dyDescent="0.25">
      <c r="B16" s="3" t="s">
        <v>22</v>
      </c>
      <c r="F16" s="3">
        <v>9.6000000000000002E-2</v>
      </c>
      <c r="H16" s="3">
        <v>1E-3</v>
      </c>
      <c r="I16" s="3">
        <v>0.11700000000000001</v>
      </c>
      <c r="J16" s="3">
        <v>-1.6E-2</v>
      </c>
      <c r="K16" s="3">
        <v>8.0000000000000002E-3</v>
      </c>
      <c r="R16" s="3">
        <v>-0.52300000000000002</v>
      </c>
      <c r="S16" s="3">
        <v>9.6000000000000002E-2</v>
      </c>
      <c r="T16" s="3">
        <v>0.1</v>
      </c>
    </row>
    <row r="17" spans="2:21" s="4" customFormat="1" x14ac:dyDescent="0.25">
      <c r="B17" s="4" t="s">
        <v>23</v>
      </c>
      <c r="C17" s="4">
        <f t="shared" ref="C17:H17" si="12">C15+C16</f>
        <v>-11.854000000000001</v>
      </c>
      <c r="D17" s="4">
        <f t="shared" si="12"/>
        <v>-10.528999999999993</v>
      </c>
      <c r="E17" s="4">
        <f t="shared" si="12"/>
        <v>-62.838000000000001</v>
      </c>
      <c r="F17" s="4">
        <f t="shared" si="12"/>
        <v>-35.124000000000002</v>
      </c>
      <c r="G17" s="4">
        <f t="shared" si="12"/>
        <v>-4.2470000000000008</v>
      </c>
      <c r="H17" s="4">
        <f t="shared" si="12"/>
        <v>-138.72399999999999</v>
      </c>
      <c r="I17" s="4">
        <f>I15+I16</f>
        <v>-35.320999999999998</v>
      </c>
      <c r="J17" s="4">
        <f>J15+J16</f>
        <v>-25.212</v>
      </c>
      <c r="K17" s="4">
        <f t="shared" ref="K17:N17" si="13">K15+K16</f>
        <v>-26.231000000000012</v>
      </c>
      <c r="L17" s="4">
        <f t="shared" si="13"/>
        <v>0</v>
      </c>
      <c r="M17" s="4">
        <f t="shared" si="13"/>
        <v>0</v>
      </c>
      <c r="N17" s="4">
        <f t="shared" si="13"/>
        <v>0</v>
      </c>
      <c r="R17" s="4">
        <f t="shared" ref="R17:U17" si="14">R15+R16</f>
        <v>-45.527999999999999</v>
      </c>
      <c r="S17" s="4">
        <f t="shared" si="14"/>
        <v>-74.168000000000006</v>
      </c>
      <c r="T17" s="4">
        <f t="shared" si="14"/>
        <v>-158.13299999999998</v>
      </c>
      <c r="U17" s="4">
        <f t="shared" si="14"/>
        <v>0</v>
      </c>
    </row>
    <row r="18" spans="2:21" s="3" customFormat="1" x14ac:dyDescent="0.25">
      <c r="B18" s="3" t="s">
        <v>38</v>
      </c>
      <c r="J18" s="3">
        <v>-27.356999999999999</v>
      </c>
      <c r="K18" s="3">
        <v>9.3209999999999997</v>
      </c>
      <c r="R18" s="3">
        <v>-1.1180000000000001</v>
      </c>
      <c r="S18" s="3">
        <v>-75.295000000000002</v>
      </c>
      <c r="T18" s="3">
        <v>-72.73</v>
      </c>
    </row>
    <row r="19" spans="2:21" s="4" customFormat="1" x14ac:dyDescent="0.25">
      <c r="B19" s="4" t="s">
        <v>39</v>
      </c>
      <c r="C19" s="4">
        <f t="shared" ref="C19:H19" si="15">+C17+C18</f>
        <v>-11.854000000000001</v>
      </c>
      <c r="D19" s="4">
        <f t="shared" si="15"/>
        <v>-10.528999999999993</v>
      </c>
      <c r="E19" s="4">
        <f t="shared" si="15"/>
        <v>-62.838000000000001</v>
      </c>
      <c r="F19" s="4">
        <f t="shared" si="15"/>
        <v>-35.124000000000002</v>
      </c>
      <c r="G19" s="4">
        <f t="shared" si="15"/>
        <v>-4.2470000000000008</v>
      </c>
      <c r="H19" s="4">
        <f t="shared" si="15"/>
        <v>-138.72399999999999</v>
      </c>
      <c r="I19" s="4">
        <f>+I17+I18</f>
        <v>-35.320999999999998</v>
      </c>
      <c r="J19" s="4">
        <f>+J17+J18</f>
        <v>-52.569000000000003</v>
      </c>
      <c r="K19" s="4">
        <f t="shared" ref="K19:N19" si="16">+K17+K18</f>
        <v>-16.910000000000011</v>
      </c>
      <c r="L19" s="4">
        <f t="shared" si="16"/>
        <v>0</v>
      </c>
      <c r="M19" s="4">
        <f t="shared" si="16"/>
        <v>0</v>
      </c>
      <c r="N19" s="4">
        <f t="shared" si="16"/>
        <v>0</v>
      </c>
      <c r="R19" s="4">
        <f t="shared" ref="R19:U19" si="17">+R17+R18</f>
        <v>-46.646000000000001</v>
      </c>
      <c r="S19" s="4">
        <f t="shared" si="17"/>
        <v>-149.46300000000002</v>
      </c>
      <c r="T19" s="4">
        <f t="shared" si="17"/>
        <v>-230.863</v>
      </c>
      <c r="U19" s="4">
        <f t="shared" si="17"/>
        <v>0</v>
      </c>
    </row>
    <row r="20" spans="2:21" s="3" customFormat="1" x14ac:dyDescent="0.25">
      <c r="B20" s="3" t="s">
        <v>24</v>
      </c>
      <c r="C20" s="3">
        <v>100.52167300000001</v>
      </c>
      <c r="D20" s="3">
        <v>109.66303000000001</v>
      </c>
      <c r="E20" s="3">
        <v>121.42662199999999</v>
      </c>
      <c r="F20" s="3">
        <v>124.666579</v>
      </c>
      <c r="G20" s="3">
        <v>149.00933599999999</v>
      </c>
      <c r="H20" s="3">
        <v>209.560339</v>
      </c>
      <c r="I20" s="3">
        <v>222.454578</v>
      </c>
      <c r="J20" s="3">
        <v>224.30666099999999</v>
      </c>
      <c r="K20" s="3">
        <v>255.89290199999999</v>
      </c>
      <c r="R20" s="3">
        <v>93.976232999999993</v>
      </c>
      <c r="S20" s="3">
        <v>114.061414</v>
      </c>
      <c r="T20" s="3">
        <v>201.19445099999999</v>
      </c>
    </row>
    <row r="21" spans="2:21" s="5" customFormat="1" x14ac:dyDescent="0.25">
      <c r="B21" s="5" t="s">
        <v>25</v>
      </c>
      <c r="C21" s="5">
        <f t="shared" ref="C21:H21" si="18">C19/C20</f>
        <v>-0.11792481806386171</v>
      </c>
      <c r="D21" s="5">
        <f t="shared" si="18"/>
        <v>-9.6012302414040462E-2</v>
      </c>
      <c r="E21" s="5">
        <f t="shared" si="18"/>
        <v>-0.51749771973398062</v>
      </c>
      <c r="F21" s="5">
        <f t="shared" si="18"/>
        <v>-0.28174351363247085</v>
      </c>
      <c r="G21" s="5">
        <f t="shared" si="18"/>
        <v>-2.850156986136762E-2</v>
      </c>
      <c r="H21" s="5">
        <f t="shared" si="18"/>
        <v>-0.66197640575490757</v>
      </c>
      <c r="I21" s="5">
        <f>I19/I20</f>
        <v>-0.1587784810614237</v>
      </c>
      <c r="J21" s="5">
        <f>J19/J20</f>
        <v>-0.2343621886467295</v>
      </c>
      <c r="K21" s="5">
        <f t="shared" ref="K21:N21" si="19">K19/K20</f>
        <v>-6.6082333147325867E-2</v>
      </c>
      <c r="L21" s="5" t="e">
        <f t="shared" si="19"/>
        <v>#DIV/0!</v>
      </c>
      <c r="M21" s="5" t="e">
        <f t="shared" si="19"/>
        <v>#DIV/0!</v>
      </c>
      <c r="N21" s="5" t="e">
        <f t="shared" si="19"/>
        <v>#DIV/0!</v>
      </c>
      <c r="R21" s="5">
        <f t="shared" ref="R21:U21" si="20">R19/R20</f>
        <v>-0.49635954231108631</v>
      </c>
      <c r="S21" s="5">
        <f t="shared" si="20"/>
        <v>-1.3103730241324207</v>
      </c>
      <c r="T21" s="5">
        <f t="shared" si="20"/>
        <v>-1.1474620639512569</v>
      </c>
      <c r="U21" s="5" t="e">
        <f t="shared" si="20"/>
        <v>#DIV/0!</v>
      </c>
    </row>
    <row r="24" spans="2:21" s="9" customFormat="1" x14ac:dyDescent="0.25">
      <c r="B24" s="8" t="s">
        <v>41</v>
      </c>
      <c r="C24" s="9">
        <f t="shared" ref="C24:I24" si="21">C5/C3</f>
        <v>0.30564656003083446</v>
      </c>
      <c r="D24" s="9">
        <f t="shared" si="21"/>
        <v>0.29462360495699369</v>
      </c>
      <c r="E24" s="9">
        <f t="shared" si="21"/>
        <v>-8.565562425025379E-2</v>
      </c>
      <c r="F24" s="9">
        <f t="shared" si="21"/>
        <v>0.15324559446799019</v>
      </c>
      <c r="G24" s="9">
        <f t="shared" si="21"/>
        <v>-5.8645229309436222E-3</v>
      </c>
      <c r="H24" s="9">
        <f t="shared" si="21"/>
        <v>0.18016847247447867</v>
      </c>
      <c r="I24" s="9">
        <f t="shared" si="21"/>
        <v>7.142722170782867E-2</v>
      </c>
      <c r="J24" s="9">
        <f>J5/J3</f>
        <v>0.20429852945045113</v>
      </c>
      <c r="K24" s="9">
        <f t="shared" ref="K24:L24" si="22">K5/K3</f>
        <v>0.13407873427183245</v>
      </c>
      <c r="L24" s="9" t="e">
        <f t="shared" si="22"/>
        <v>#DIV/0!</v>
      </c>
      <c r="R24" s="9">
        <f t="shared" ref="R24:T24" si="23">R5/R3</f>
        <v>0.19865684575389955</v>
      </c>
      <c r="S24" s="9">
        <f t="shared" si="23"/>
        <v>0.21933420193532324</v>
      </c>
      <c r="T24" s="9">
        <f t="shared" si="23"/>
        <v>0.29642215641536007</v>
      </c>
      <c r="U24" s="9" t="e">
        <f t="shared" ref="U24" si="24">U5/U3</f>
        <v>#DIV/0!</v>
      </c>
    </row>
    <row r="25" spans="2:21" s="9" customFormat="1" x14ac:dyDescent="0.25">
      <c r="B25" s="8" t="s">
        <v>40</v>
      </c>
      <c r="C25" s="9">
        <f t="shared" ref="C25:I25" si="25">C11/C3</f>
        <v>-0.20284668116620327</v>
      </c>
      <c r="D25" s="9">
        <f t="shared" si="25"/>
        <v>-0.18747482406463975</v>
      </c>
      <c r="E25" s="9">
        <f t="shared" si="25"/>
        <v>-1.2793208452523761</v>
      </c>
      <c r="F25" s="9">
        <f t="shared" si="25"/>
        <v>-9.8557513569782165E-2</v>
      </c>
      <c r="G25" s="9">
        <f t="shared" si="25"/>
        <v>0.15621705324196097</v>
      </c>
      <c r="H25" s="9">
        <f t="shared" si="25"/>
        <v>-0.29146051230663234</v>
      </c>
      <c r="I25" s="9">
        <f t="shared" si="25"/>
        <v>-0.35794864042629576</v>
      </c>
      <c r="J25" s="9">
        <f>J11/J3</f>
        <v>-0.5445242417067846</v>
      </c>
      <c r="K25" s="9">
        <f t="shared" ref="K25:L25" si="26">K11/K3</f>
        <v>-0.34715647190731302</v>
      </c>
      <c r="L25" s="9" t="e">
        <f t="shared" si="26"/>
        <v>#DIV/0!</v>
      </c>
      <c r="R25" s="9">
        <f t="shared" ref="R25:T25" si="27">R11/R3</f>
        <v>-0.77467865395725</v>
      </c>
      <c r="S25" s="9">
        <f t="shared" si="27"/>
        <v>-0.24046611720271135</v>
      </c>
      <c r="T25" s="9">
        <f t="shared" si="27"/>
        <v>-0.11682259194274323</v>
      </c>
      <c r="U25" s="9" t="e">
        <f t="shared" ref="U25" si="28">U11/U3</f>
        <v>#DIV/0!</v>
      </c>
    </row>
    <row r="26" spans="2:21" s="9" customFormat="1" x14ac:dyDescent="0.25">
      <c r="B26" s="8" t="s">
        <v>42</v>
      </c>
      <c r="C26" s="9">
        <f t="shared" ref="C26:I26" si="29">-(C12+C13+C14)/C11</f>
        <v>0.60884907709011937</v>
      </c>
      <c r="D26" s="9">
        <f t="shared" si="29"/>
        <v>0.33076339737108224</v>
      </c>
      <c r="E26" s="9">
        <f t="shared" si="29"/>
        <v>0.13311454125793423</v>
      </c>
      <c r="F26" s="9">
        <f t="shared" si="29"/>
        <v>12.285552621652204</v>
      </c>
      <c r="G26" s="9">
        <f t="shared" si="29"/>
        <v>-1.4478540546240644</v>
      </c>
      <c r="H26" s="9">
        <f t="shared" si="29"/>
        <v>6.4523233951114713</v>
      </c>
      <c r="I26" s="9">
        <f t="shared" si="29"/>
        <v>0.87077020535290095</v>
      </c>
      <c r="J26" s="9">
        <f>-(J12+J13+J14)/J11</f>
        <v>0.2172568723126721</v>
      </c>
      <c r="K26" s="9">
        <f t="shared" ref="K26:L26" si="30">-(K12+K13+K14)/K11</f>
        <v>0.17700623514107561</v>
      </c>
      <c r="L26" s="9" t="e">
        <f t="shared" si="30"/>
        <v>#DIV/0!</v>
      </c>
      <c r="R26" s="9">
        <f t="shared" ref="R26:T26" si="31">-(R12+R13+R14)/R11</f>
        <v>4.879867633007854E-2</v>
      </c>
      <c r="S26" s="9">
        <f t="shared" si="31"/>
        <v>1.2605625228296593</v>
      </c>
      <c r="T26" s="9">
        <f t="shared" si="31"/>
        <v>8.3934698723656993</v>
      </c>
      <c r="U26" s="9" t="e">
        <f t="shared" ref="U26" si="32">-(U12+U13+U14)/U11</f>
        <v>#DIV/0!</v>
      </c>
    </row>
    <row r="27" spans="2:21" s="9" customFormat="1" x14ac:dyDescent="0.25">
      <c r="B27" s="8" t="s">
        <v>43</v>
      </c>
      <c r="C27" s="9">
        <f t="shared" ref="C27:I27" si="33">C16/C15</f>
        <v>0</v>
      </c>
      <c r="D27" s="9">
        <f t="shared" si="33"/>
        <v>0</v>
      </c>
      <c r="E27" s="9">
        <f t="shared" si="33"/>
        <v>0</v>
      </c>
      <c r="F27" s="9">
        <f t="shared" si="33"/>
        <v>-2.7257240204429305E-3</v>
      </c>
      <c r="G27" s="9">
        <f t="shared" si="33"/>
        <v>0</v>
      </c>
      <c r="H27" s="9">
        <f t="shared" si="33"/>
        <v>-7.2085060371238069E-6</v>
      </c>
      <c r="I27" s="9">
        <f t="shared" si="33"/>
        <v>-3.3015407190022015E-3</v>
      </c>
      <c r="J27" s="9">
        <f>J16/J15</f>
        <v>6.3502143197332911E-4</v>
      </c>
      <c r="K27" s="9">
        <f t="shared" ref="K27:L27" si="34">K16/K15</f>
        <v>-3.048896680513738E-4</v>
      </c>
      <c r="L27" s="9" t="e">
        <f t="shared" si="34"/>
        <v>#DIV/0!</v>
      </c>
      <c r="R27" s="9">
        <f t="shared" ref="R27:T27" si="35">R16/R15</f>
        <v>1.1620931007665817E-2</v>
      </c>
      <c r="S27" s="9">
        <f t="shared" si="35"/>
        <v>-1.2926855542389312E-3</v>
      </c>
      <c r="T27" s="9">
        <f t="shared" si="35"/>
        <v>-6.3197942274999534E-4</v>
      </c>
      <c r="U27" s="9" t="e">
        <f t="shared" ref="U27" si="36">U16/U15</f>
        <v>#DIV/0!</v>
      </c>
    </row>
    <row r="28" spans="2:21" s="9" customFormat="1" x14ac:dyDescent="0.25">
      <c r="B28" s="8" t="s">
        <v>44</v>
      </c>
      <c r="C28" s="9">
        <f t="shared" ref="C28:I28" si="37">C19/C3</f>
        <v>-0.32634969578503981</v>
      </c>
      <c r="D28" s="9">
        <f t="shared" si="37"/>
        <v>-0.24948463379380595</v>
      </c>
      <c r="E28" s="9">
        <f t="shared" si="37"/>
        <v>-1.4496170526898589</v>
      </c>
      <c r="F28" s="9">
        <f t="shared" si="37"/>
        <v>-1.3058219942003124</v>
      </c>
      <c r="G28" s="9">
        <f t="shared" si="37"/>
        <v>-6.9962440695835543E-2</v>
      </c>
      <c r="H28" s="9">
        <f t="shared" si="37"/>
        <v>-2.1720423373207236</v>
      </c>
      <c r="I28" s="9">
        <f t="shared" si="37"/>
        <v>-0.66742880897942214</v>
      </c>
      <c r="J28" s="9">
        <f>J19/J3</f>
        <v>-1.3829216320732383</v>
      </c>
      <c r="K28" s="9">
        <f t="shared" ref="K28:L28" si="38">K19/K3</f>
        <v>-0.26333001121215915</v>
      </c>
      <c r="L28" s="9" t="e">
        <f t="shared" si="38"/>
        <v>#DIV/0!</v>
      </c>
      <c r="R28" s="9">
        <f t="shared" ref="R28:T28" si="39">R19/R3</f>
        <v>-0.84210716348931247</v>
      </c>
      <c r="S28" s="9">
        <f t="shared" si="39"/>
        <v>-1.0940212856285412</v>
      </c>
      <c r="T28" s="9">
        <f t="shared" si="39"/>
        <v>-1.6010694000402237</v>
      </c>
      <c r="U28" s="9" t="e">
        <f t="shared" ref="U28" si="40">U19/U3</f>
        <v>#DIV/0!</v>
      </c>
    </row>
    <row r="29" spans="2:21" s="9" customFormat="1" x14ac:dyDescent="0.25"/>
    <row r="30" spans="2:21" s="9" customFormat="1" x14ac:dyDescent="0.25">
      <c r="B30" s="8" t="s">
        <v>45</v>
      </c>
      <c r="G30" s="9">
        <f t="shared" ref="G30:I30" si="41">G3/C3-1</f>
        <v>0.67122759683946809</v>
      </c>
      <c r="H30" s="9">
        <f t="shared" si="41"/>
        <v>0.51335213136506885</v>
      </c>
      <c r="I30" s="9">
        <f t="shared" si="41"/>
        <v>0.22084063855310521</v>
      </c>
      <c r="J30" s="9">
        <f>J3/F3-1</f>
        <v>0.41322774927503891</v>
      </c>
      <c r="K30" s="9">
        <f t="shared" ref="K30:L30" si="42">K3/G3-1</f>
        <v>5.7854507116499532E-2</v>
      </c>
      <c r="L30" s="9">
        <f t="shared" si="42"/>
        <v>-1</v>
      </c>
      <c r="S30" s="9">
        <f t="shared" ref="S30" si="43">S3/R3-1</f>
        <v>1.4663850375505487</v>
      </c>
      <c r="T30" s="9">
        <f>T3/S3-1</f>
        <v>5.5446573657936815E-2</v>
      </c>
      <c r="U30" s="9">
        <f t="shared" ref="U30" si="44">U3/T3-1</f>
        <v>-1</v>
      </c>
    </row>
    <row r="31" spans="2:21" s="9" customFormat="1" x14ac:dyDescent="0.25">
      <c r="B31" s="8" t="s">
        <v>208</v>
      </c>
      <c r="D31" s="9">
        <f t="shared" ref="D31:I31" si="45">D20/C20-1</f>
        <v>9.0939164930134098E-2</v>
      </c>
      <c r="E31" s="9">
        <f t="shared" si="45"/>
        <v>0.10727035355488534</v>
      </c>
      <c r="F31" s="9">
        <f t="shared" si="45"/>
        <v>2.6682427186354607E-2</v>
      </c>
      <c r="G31" s="9">
        <f t="shared" si="45"/>
        <v>0.19526289399502961</v>
      </c>
      <c r="H31" s="9">
        <f t="shared" si="45"/>
        <v>0.40635710906060285</v>
      </c>
      <c r="I31" s="9">
        <f t="shared" si="45"/>
        <v>6.1529958681733277E-2</v>
      </c>
      <c r="J31" s="9">
        <f>J20/I20-1</f>
        <v>8.3256681730325965E-3</v>
      </c>
    </row>
    <row r="34" spans="2:20" s="3" customFormat="1" x14ac:dyDescent="0.25">
      <c r="B34" s="11" t="s">
        <v>46</v>
      </c>
      <c r="C34" s="3">
        <f t="shared" ref="C34:I34" si="46">+C35-C50-C57</f>
        <v>0</v>
      </c>
      <c r="D34" s="3">
        <f t="shared" si="46"/>
        <v>0</v>
      </c>
      <c r="E34" s="3">
        <f t="shared" si="46"/>
        <v>0</v>
      </c>
      <c r="F34" s="3">
        <f t="shared" si="46"/>
        <v>-122.05099999999999</v>
      </c>
      <c r="G34" s="3">
        <f t="shared" si="46"/>
        <v>-85.367999999999995</v>
      </c>
      <c r="H34" s="3">
        <f t="shared" si="46"/>
        <v>-193.34800000000001</v>
      </c>
      <c r="I34" s="3">
        <f t="shared" si="46"/>
        <v>-620.38300000000004</v>
      </c>
      <c r="J34" s="3">
        <f>+J35-J50-J57</f>
        <v>-646.60400000000004</v>
      </c>
      <c r="K34" s="3">
        <f t="shared" ref="K34:L34" si="47">+K35-K50-K57</f>
        <v>-613.428</v>
      </c>
      <c r="L34" s="3">
        <f t="shared" si="47"/>
        <v>0</v>
      </c>
      <c r="S34" s="3">
        <f t="shared" ref="S34:T34" si="48">+S35-S50-S57</f>
        <v>-122.05099999999999</v>
      </c>
      <c r="T34" s="3">
        <f t="shared" si="48"/>
        <v>-646.60400000000004</v>
      </c>
    </row>
    <row r="35" spans="2:20" s="3" customFormat="1" x14ac:dyDescent="0.25">
      <c r="B35" s="11" t="s">
        <v>47</v>
      </c>
      <c r="F35" s="3">
        <v>3.339</v>
      </c>
      <c r="G35" s="3">
        <v>58.215000000000003</v>
      </c>
      <c r="H35" s="3">
        <v>286.23700000000002</v>
      </c>
      <c r="I35" s="3">
        <v>68.742999999999995</v>
      </c>
      <c r="J35" s="3">
        <v>41.552</v>
      </c>
      <c r="K35" s="3">
        <v>73.911000000000001</v>
      </c>
      <c r="S35" s="3">
        <v>3.339</v>
      </c>
      <c r="T35" s="3">
        <v>41.552</v>
      </c>
    </row>
    <row r="36" spans="2:20" s="3" customFormat="1" x14ac:dyDescent="0.25">
      <c r="B36" s="11" t="s">
        <v>48</v>
      </c>
      <c r="I36" s="3">
        <v>154.13900000000001</v>
      </c>
      <c r="J36" s="3">
        <v>41.026000000000003</v>
      </c>
      <c r="K36" s="3">
        <v>2.851</v>
      </c>
      <c r="S36" s="3">
        <v>0</v>
      </c>
      <c r="T36" s="3">
        <v>41.026000000000003</v>
      </c>
    </row>
    <row r="37" spans="2:20" s="3" customFormat="1" x14ac:dyDescent="0.25">
      <c r="B37" s="11" t="s">
        <v>49</v>
      </c>
      <c r="F37" s="3">
        <v>21.349</v>
      </c>
      <c r="G37" s="3">
        <v>21.341999999999999</v>
      </c>
      <c r="H37" s="3">
        <v>21.341999999999999</v>
      </c>
      <c r="I37" s="3">
        <v>31.341999999999999</v>
      </c>
      <c r="J37" s="3">
        <v>31.341999999999999</v>
      </c>
      <c r="K37" s="3">
        <v>37.341999999999999</v>
      </c>
      <c r="S37" s="3">
        <v>21.349</v>
      </c>
      <c r="T37" s="3">
        <v>31.341999999999999</v>
      </c>
    </row>
    <row r="38" spans="2:20" s="3" customFormat="1" x14ac:dyDescent="0.25">
      <c r="B38" s="11" t="s">
        <v>50</v>
      </c>
      <c r="F38" s="3">
        <v>3.847</v>
      </c>
      <c r="G38" s="3">
        <v>2.298</v>
      </c>
      <c r="H38" s="3">
        <v>12.313000000000001</v>
      </c>
      <c r="I38" s="3">
        <v>14.619</v>
      </c>
      <c r="J38" s="3">
        <v>3.04</v>
      </c>
      <c r="K38" s="3">
        <v>29.134</v>
      </c>
      <c r="S38" s="3">
        <v>3.847</v>
      </c>
      <c r="T38" s="3">
        <v>3.04</v>
      </c>
    </row>
    <row r="39" spans="2:20" s="3" customFormat="1" x14ac:dyDescent="0.25">
      <c r="B39" s="11" t="s">
        <v>51</v>
      </c>
      <c r="F39" s="3">
        <v>1</v>
      </c>
      <c r="G39" s="3">
        <v>2.0630000000000002</v>
      </c>
      <c r="H39" s="3">
        <v>8.4960000000000004</v>
      </c>
      <c r="I39" s="3">
        <v>5.4160000000000004</v>
      </c>
      <c r="J39" s="3">
        <v>9.43</v>
      </c>
      <c r="K39" s="3">
        <v>188.49100000000001</v>
      </c>
      <c r="S39" s="3">
        <v>1</v>
      </c>
      <c r="T39" s="3">
        <v>9.43</v>
      </c>
    </row>
    <row r="40" spans="2:20" s="3" customFormat="1" x14ac:dyDescent="0.25">
      <c r="B40" s="11" t="s">
        <v>73</v>
      </c>
      <c r="F40" s="3">
        <v>374.6</v>
      </c>
      <c r="G40" s="3">
        <v>0.192</v>
      </c>
      <c r="J40" s="3">
        <v>304.2</v>
      </c>
      <c r="K40" s="3">
        <v>310.00599999999997</v>
      </c>
      <c r="S40" s="3">
        <v>374.6</v>
      </c>
      <c r="T40" s="3">
        <v>304.2</v>
      </c>
    </row>
    <row r="41" spans="2:20" s="3" customFormat="1" x14ac:dyDescent="0.25">
      <c r="B41" s="11" t="s">
        <v>56</v>
      </c>
      <c r="F41" s="3">
        <v>329.1</v>
      </c>
      <c r="G41" s="3">
        <v>478.24900000000002</v>
      </c>
      <c r="H41" s="3">
        <v>772.66399999999999</v>
      </c>
      <c r="I41" s="3">
        <v>1002.206</v>
      </c>
      <c r="J41" s="3">
        <v>1275.8409999999999</v>
      </c>
      <c r="K41" s="3">
        <v>1461.7750000000001</v>
      </c>
      <c r="S41" s="3">
        <v>329.1</v>
      </c>
      <c r="T41" s="3">
        <v>1275.8409999999999</v>
      </c>
    </row>
    <row r="42" spans="2:20" s="3" customFormat="1" x14ac:dyDescent="0.25">
      <c r="B42" s="11" t="s">
        <v>52</v>
      </c>
      <c r="F42" s="3">
        <v>1.5209999999999999</v>
      </c>
      <c r="G42" s="3">
        <v>147.148</v>
      </c>
      <c r="H42" s="3">
        <v>140.583</v>
      </c>
      <c r="I42" s="3">
        <v>153.434</v>
      </c>
      <c r="J42" s="3">
        <v>0.96</v>
      </c>
      <c r="K42" s="3">
        <v>0.81</v>
      </c>
      <c r="S42" s="3">
        <v>1.5209999999999999</v>
      </c>
      <c r="T42" s="3">
        <v>0.96</v>
      </c>
    </row>
    <row r="43" spans="2:20" s="3" customFormat="1" x14ac:dyDescent="0.25">
      <c r="B43" s="11" t="s">
        <v>53</v>
      </c>
      <c r="F43" s="3">
        <v>8.75</v>
      </c>
      <c r="G43" s="3">
        <v>200.649</v>
      </c>
      <c r="H43" s="3">
        <v>261.452</v>
      </c>
      <c r="I43" s="3">
        <v>235.203</v>
      </c>
      <c r="J43" s="3">
        <v>17.82</v>
      </c>
      <c r="K43" s="3">
        <v>16.893000000000001</v>
      </c>
      <c r="S43" s="3">
        <v>8.75</v>
      </c>
      <c r="T43" s="3">
        <v>17.82</v>
      </c>
    </row>
    <row r="44" spans="2:20" s="3" customFormat="1" x14ac:dyDescent="0.25">
      <c r="B44" s="11" t="s">
        <v>54</v>
      </c>
      <c r="F44" s="3">
        <v>19.350000000000001</v>
      </c>
      <c r="G44" s="3">
        <v>27.576000000000001</v>
      </c>
      <c r="H44" s="3">
        <v>40.082000000000001</v>
      </c>
      <c r="I44" s="3">
        <v>42.244999999999997</v>
      </c>
      <c r="J44" s="3">
        <v>144.876</v>
      </c>
      <c r="K44" s="3">
        <v>277.78199999999998</v>
      </c>
      <c r="S44" s="3">
        <v>19.350000000000001</v>
      </c>
      <c r="T44" s="3">
        <v>144.876</v>
      </c>
    </row>
    <row r="45" spans="2:20" s="4" customFormat="1" x14ac:dyDescent="0.25">
      <c r="B45" s="4" t="s">
        <v>55</v>
      </c>
      <c r="C45" s="4">
        <f t="shared" ref="C45:I45" si="49">SUM(C35:C44)</f>
        <v>0</v>
      </c>
      <c r="D45" s="4">
        <f t="shared" si="49"/>
        <v>0</v>
      </c>
      <c r="E45" s="4">
        <f t="shared" si="49"/>
        <v>0</v>
      </c>
      <c r="F45" s="4">
        <f t="shared" si="49"/>
        <v>762.85600000000011</v>
      </c>
      <c r="G45" s="4">
        <f t="shared" si="49"/>
        <v>937.73200000000008</v>
      </c>
      <c r="H45" s="4">
        <f t="shared" si="49"/>
        <v>1543.1690000000001</v>
      </c>
      <c r="I45" s="4">
        <f t="shared" si="49"/>
        <v>1707.3469999999998</v>
      </c>
      <c r="J45" s="4">
        <f>SUM(J35:J44)</f>
        <v>1870.087</v>
      </c>
      <c r="K45" s="4">
        <f t="shared" ref="K45:L45" si="50">SUM(K35:K44)</f>
        <v>2398.9950000000003</v>
      </c>
      <c r="L45" s="4">
        <f t="shared" si="50"/>
        <v>0</v>
      </c>
      <c r="S45" s="4">
        <f t="shared" ref="S45" si="51">SUM(S35:S44)</f>
        <v>762.85600000000011</v>
      </c>
      <c r="T45" s="4">
        <f>SUM(T35:T44)</f>
        <v>1870.087</v>
      </c>
    </row>
    <row r="46" spans="2:20" s="3" customFormat="1" x14ac:dyDescent="0.25">
      <c r="B46" s="11" t="s">
        <v>57</v>
      </c>
      <c r="F46" s="3">
        <v>104.52800000000001</v>
      </c>
      <c r="G46" s="3">
        <v>140.26400000000001</v>
      </c>
      <c r="H46" s="3">
        <v>192</v>
      </c>
      <c r="I46" s="3">
        <v>170.517</v>
      </c>
      <c r="J46" s="3">
        <v>247.52799999999999</v>
      </c>
      <c r="K46" s="3">
        <v>172.82300000000001</v>
      </c>
      <c r="S46" s="3">
        <v>104.52800000000001</v>
      </c>
      <c r="T46" s="3">
        <v>247.52799999999999</v>
      </c>
    </row>
    <row r="47" spans="2:20" s="3" customFormat="1" x14ac:dyDescent="0.25">
      <c r="B47" s="11" t="s">
        <v>58</v>
      </c>
      <c r="F47" s="3">
        <v>24</v>
      </c>
      <c r="G47" s="3">
        <v>26.722999999999999</v>
      </c>
      <c r="H47" s="3">
        <v>31.625</v>
      </c>
      <c r="I47" s="3">
        <v>19.268000000000001</v>
      </c>
      <c r="J47" s="3">
        <v>29.548999999999999</v>
      </c>
      <c r="K47" s="3">
        <v>182.94800000000001</v>
      </c>
      <c r="S47" s="3">
        <v>24</v>
      </c>
      <c r="T47" s="3">
        <v>29.548999999999999</v>
      </c>
    </row>
    <row r="48" spans="2:20" s="3" customFormat="1" x14ac:dyDescent="0.25">
      <c r="B48" s="11" t="s">
        <v>59</v>
      </c>
      <c r="F48" s="3">
        <v>0.6</v>
      </c>
      <c r="G48" s="3">
        <v>22.393000000000001</v>
      </c>
      <c r="H48" s="3">
        <v>23.1</v>
      </c>
      <c r="I48" s="3">
        <v>27.5</v>
      </c>
      <c r="J48" s="3">
        <v>0.69199999999999995</v>
      </c>
      <c r="K48" s="3">
        <v>0.68799999999999994</v>
      </c>
      <c r="S48" s="3">
        <v>0.6</v>
      </c>
      <c r="T48" s="3">
        <v>0.69199999999999995</v>
      </c>
    </row>
    <row r="49" spans="2:20" s="3" customFormat="1" x14ac:dyDescent="0.25">
      <c r="B49" s="11" t="s">
        <v>60</v>
      </c>
      <c r="F49" s="3">
        <v>5.2830000000000004</v>
      </c>
      <c r="G49" s="3">
        <v>112.07899999999999</v>
      </c>
      <c r="H49" s="3">
        <v>136.511</v>
      </c>
      <c r="I49" s="3">
        <v>140.13499999999999</v>
      </c>
      <c r="J49" s="3">
        <v>13.632999999999999</v>
      </c>
      <c r="K49" s="3">
        <v>11.951000000000001</v>
      </c>
      <c r="S49" s="3">
        <v>5.2830000000000004</v>
      </c>
      <c r="T49" s="3">
        <v>13.632999999999999</v>
      </c>
    </row>
    <row r="50" spans="2:20" s="3" customFormat="1" x14ac:dyDescent="0.25">
      <c r="B50" s="11" t="s">
        <v>61</v>
      </c>
      <c r="F50" s="3">
        <f>10.082+35.836</f>
        <v>45.917999999999999</v>
      </c>
      <c r="G50" s="3">
        <f>6.892+30.464</f>
        <v>37.356000000000002</v>
      </c>
      <c r="H50" s="3">
        <f>6.543+4.798</f>
        <v>11.341000000000001</v>
      </c>
      <c r="I50" s="3">
        <v>10.138</v>
      </c>
      <c r="J50" s="3">
        <v>10.331</v>
      </c>
      <c r="K50" s="3">
        <v>382.05599999999998</v>
      </c>
      <c r="S50" s="3">
        <f>10.082+35.836</f>
        <v>45.917999999999999</v>
      </c>
      <c r="T50" s="3">
        <v>10.331</v>
      </c>
    </row>
    <row r="51" spans="2:20" s="3" customFormat="1" x14ac:dyDescent="0.25">
      <c r="B51" s="11" t="s">
        <v>62</v>
      </c>
      <c r="F51" s="3">
        <f>13.819+1.55</f>
        <v>15.369000000000002</v>
      </c>
      <c r="G51" s="3">
        <v>13.676</v>
      </c>
      <c r="H51" s="3">
        <v>16.125</v>
      </c>
      <c r="I51" s="3">
        <v>16.125</v>
      </c>
      <c r="J51" s="3">
        <v>16.125</v>
      </c>
      <c r="K51" s="3">
        <v>16.751999999999999</v>
      </c>
      <c r="S51" s="3">
        <f>13.819+1.55</f>
        <v>15.369000000000002</v>
      </c>
      <c r="T51" s="3">
        <v>16.125</v>
      </c>
    </row>
    <row r="52" spans="2:20" s="3" customFormat="1" x14ac:dyDescent="0.25">
      <c r="B52" s="11" t="s">
        <v>63</v>
      </c>
      <c r="F52" s="3">
        <f>6.496+1.692</f>
        <v>8.1880000000000006</v>
      </c>
      <c r="G52" s="3">
        <v>16.867000000000001</v>
      </c>
      <c r="H52" s="3">
        <v>6.1870000000000003</v>
      </c>
      <c r="I52" s="3">
        <v>4.8789999999999996</v>
      </c>
      <c r="J52" s="3">
        <v>0</v>
      </c>
      <c r="K52" s="3">
        <v>0.626</v>
      </c>
      <c r="S52" s="3">
        <f>6.496+1.692</f>
        <v>8.1880000000000006</v>
      </c>
      <c r="T52" s="3">
        <v>0</v>
      </c>
    </row>
    <row r="53" spans="2:20" s="3" customFormat="1" x14ac:dyDescent="0.25">
      <c r="B53" s="11" t="s">
        <v>64</v>
      </c>
      <c r="F53" s="3">
        <v>13.002000000000001</v>
      </c>
      <c r="G53" s="3">
        <v>17.210999999999999</v>
      </c>
      <c r="H53" s="3">
        <v>7.3550000000000004</v>
      </c>
      <c r="I53" s="3">
        <v>4.8070000000000004</v>
      </c>
      <c r="J53" s="3">
        <v>4.8070000000000004</v>
      </c>
      <c r="K53" s="3">
        <v>3.0539999999999998</v>
      </c>
      <c r="S53" s="3">
        <v>13.002000000000001</v>
      </c>
      <c r="T53" s="3">
        <v>4.8070000000000004</v>
      </c>
    </row>
    <row r="54" spans="2:20" s="3" customFormat="1" x14ac:dyDescent="0.25">
      <c r="B54" s="11" t="s">
        <v>65</v>
      </c>
      <c r="F54" s="3">
        <v>336.517</v>
      </c>
      <c r="G54" s="3">
        <v>9.6000000000000002E-2</v>
      </c>
      <c r="H54" s="3">
        <v>9.6000000000000002E-2</v>
      </c>
      <c r="I54" s="3">
        <v>0.216</v>
      </c>
      <c r="J54" s="3">
        <f>19.432+216</f>
        <v>235.43199999999999</v>
      </c>
      <c r="K54" s="3">
        <f>188.215+26.38</f>
        <v>214.595</v>
      </c>
      <c r="L54" s="11"/>
      <c r="S54" s="3">
        <v>336.517</v>
      </c>
      <c r="T54" s="3">
        <f>19.432+216</f>
        <v>235.43199999999999</v>
      </c>
    </row>
    <row r="55" spans="2:20" s="3" customFormat="1" x14ac:dyDescent="0.25">
      <c r="B55" s="11" t="s">
        <v>66</v>
      </c>
      <c r="F55" s="3">
        <v>1.0720000000000001</v>
      </c>
      <c r="G55" s="3">
        <v>103.871</v>
      </c>
      <c r="H55" s="3">
        <v>97.820999999999998</v>
      </c>
      <c r="I55" s="3">
        <v>104.679</v>
      </c>
      <c r="J55" s="3">
        <v>0.38100000000000001</v>
      </c>
      <c r="K55" s="3">
        <v>0.22</v>
      </c>
      <c r="S55" s="3">
        <v>1.0720000000000001</v>
      </c>
      <c r="T55" s="3">
        <v>0.38100000000000001</v>
      </c>
    </row>
    <row r="56" spans="2:20" s="3" customFormat="1" x14ac:dyDescent="0.25">
      <c r="B56" s="11" t="s">
        <v>67</v>
      </c>
      <c r="F56" s="3">
        <v>3.3809999999999998</v>
      </c>
      <c r="G56" s="3">
        <v>43.841000000000001</v>
      </c>
      <c r="H56" s="3">
        <v>62.396999999999998</v>
      </c>
      <c r="I56" s="3">
        <v>32.231999999999999</v>
      </c>
      <c r="J56" s="3">
        <v>1.4999999999999999E-2</v>
      </c>
      <c r="K56" s="3">
        <v>1.0999999999999999E-2</v>
      </c>
      <c r="S56" s="3">
        <v>3.3809999999999998</v>
      </c>
      <c r="T56" s="3">
        <v>1.4999999999999999E-2</v>
      </c>
    </row>
    <row r="57" spans="2:20" s="3" customFormat="1" x14ac:dyDescent="0.25">
      <c r="B57" s="11" t="s">
        <v>68</v>
      </c>
      <c r="F57" s="3">
        <v>79.471999999999994</v>
      </c>
      <c r="G57" s="3">
        <v>106.227</v>
      </c>
      <c r="H57" s="3">
        <v>468.24400000000003</v>
      </c>
      <c r="I57" s="3">
        <v>678.98800000000006</v>
      </c>
      <c r="J57" s="3">
        <v>677.82500000000005</v>
      </c>
      <c r="K57" s="3">
        <v>305.28300000000002</v>
      </c>
      <c r="S57" s="3">
        <v>79.471999999999994</v>
      </c>
      <c r="T57" s="3">
        <v>677.82500000000005</v>
      </c>
    </row>
    <row r="58" spans="2:20" s="4" customFormat="1" x14ac:dyDescent="0.25">
      <c r="B58" s="4" t="s">
        <v>69</v>
      </c>
      <c r="C58" s="4">
        <f t="shared" ref="C58:I58" si="52">SUM(C46:C57)</f>
        <v>0</v>
      </c>
      <c r="D58" s="4">
        <f t="shared" si="52"/>
        <v>0</v>
      </c>
      <c r="E58" s="4">
        <f t="shared" si="52"/>
        <v>0</v>
      </c>
      <c r="F58" s="4">
        <f t="shared" si="52"/>
        <v>637.32999999999993</v>
      </c>
      <c r="G58" s="4">
        <f t="shared" si="52"/>
        <v>640.60399999999993</v>
      </c>
      <c r="H58" s="4">
        <f t="shared" si="52"/>
        <v>1052.8020000000001</v>
      </c>
      <c r="I58" s="4">
        <f t="shared" si="52"/>
        <v>1209.4839999999999</v>
      </c>
      <c r="J58" s="4">
        <f>SUM(J46:J57)</f>
        <v>1236.318</v>
      </c>
      <c r="K58" s="4">
        <f t="shared" ref="K58:L58" si="53">SUM(K46:K57)</f>
        <v>1291.0070000000001</v>
      </c>
      <c r="L58" s="4">
        <f t="shared" si="53"/>
        <v>0</v>
      </c>
      <c r="S58" s="4">
        <f t="shared" ref="S58" si="54">SUM(S46:S57)</f>
        <v>637.32999999999993</v>
      </c>
      <c r="T58" s="4">
        <f>SUM(T46:T57)</f>
        <v>1236.318</v>
      </c>
    </row>
    <row r="59" spans="2:20" s="3" customFormat="1" x14ac:dyDescent="0.25">
      <c r="B59" s="11" t="s">
        <v>70</v>
      </c>
      <c r="F59" s="3">
        <v>124.83</v>
      </c>
      <c r="G59" s="3">
        <v>241.846</v>
      </c>
      <c r="H59" s="3">
        <v>434.572</v>
      </c>
      <c r="I59" s="3">
        <v>454.64800000000002</v>
      </c>
      <c r="J59" s="3">
        <f>497.688+6.932+57.011+72.094</f>
        <v>633.72499999999991</v>
      </c>
      <c r="K59" s="17">
        <f>1044.26+6.932+56.796</f>
        <v>1107.9880000000001</v>
      </c>
      <c r="S59" s="3">
        <v>124.83</v>
      </c>
      <c r="T59" s="3">
        <v>497.68799999999999</v>
      </c>
    </row>
    <row r="60" spans="2:20" s="4" customFormat="1" x14ac:dyDescent="0.25">
      <c r="B60" s="4" t="s">
        <v>71</v>
      </c>
      <c r="C60" s="4">
        <f t="shared" ref="C60:I60" si="55">C58+C59</f>
        <v>0</v>
      </c>
      <c r="D60" s="4">
        <f t="shared" si="55"/>
        <v>0</v>
      </c>
      <c r="E60" s="4">
        <f t="shared" si="55"/>
        <v>0</v>
      </c>
      <c r="F60" s="4">
        <f t="shared" si="55"/>
        <v>762.16</v>
      </c>
      <c r="G60" s="4">
        <f t="shared" si="55"/>
        <v>882.44999999999993</v>
      </c>
      <c r="H60" s="4">
        <f t="shared" si="55"/>
        <v>1487.3740000000003</v>
      </c>
      <c r="I60" s="4">
        <f t="shared" si="55"/>
        <v>1664.1320000000001</v>
      </c>
      <c r="J60" s="4">
        <f>J58+J59</f>
        <v>1870.0429999999999</v>
      </c>
      <c r="K60" s="4">
        <f t="shared" ref="K60:L60" si="56">K58+K59</f>
        <v>2398.9949999999999</v>
      </c>
      <c r="L60" s="4">
        <f t="shared" si="56"/>
        <v>0</v>
      </c>
      <c r="S60" s="4">
        <f t="shared" ref="S60" si="57">S58+S59</f>
        <v>762.16</v>
      </c>
      <c r="T60" s="4">
        <f>T58+T59</f>
        <v>1734.0059999999999</v>
      </c>
    </row>
    <row r="63" spans="2:20" s="9" customFormat="1" x14ac:dyDescent="0.25">
      <c r="B63" s="8" t="s">
        <v>72</v>
      </c>
      <c r="C63" s="9" t="e">
        <f t="shared" ref="C63:I63" si="58">C41/C45</f>
        <v>#DIV/0!</v>
      </c>
      <c r="D63" s="9" t="e">
        <f t="shared" si="58"/>
        <v>#DIV/0!</v>
      </c>
      <c r="E63" s="9" t="e">
        <f t="shared" si="58"/>
        <v>#DIV/0!</v>
      </c>
      <c r="F63" s="9">
        <f t="shared" si="58"/>
        <v>0.43140514068185865</v>
      </c>
      <c r="G63" s="9">
        <f t="shared" si="58"/>
        <v>0.51000605716771952</v>
      </c>
      <c r="H63" s="9">
        <f t="shared" si="58"/>
        <v>0.50069953452927052</v>
      </c>
      <c r="I63" s="9">
        <f t="shared" si="58"/>
        <v>0.5869960822258159</v>
      </c>
      <c r="J63" s="9">
        <f>J41/J45</f>
        <v>0.68223617403896175</v>
      </c>
      <c r="K63" s="9">
        <f t="shared" ref="K63:L63" si="59">K41/K45</f>
        <v>0.6093280727971504</v>
      </c>
      <c r="L63" s="9" t="e">
        <f t="shared" si="59"/>
        <v>#DIV/0!</v>
      </c>
    </row>
    <row r="64" spans="2:20" s="19" customFormat="1" x14ac:dyDescent="0.25">
      <c r="B64" s="20" t="s">
        <v>225</v>
      </c>
      <c r="F64" s="19">
        <f t="shared" ref="F64:J64" si="60">(F35+F36+F37+F38+F39+F40)/(F46+F47+F48+F49+F50+F51+F52+F53+F54)</f>
        <v>0.73026987468490534</v>
      </c>
      <c r="G64" s="19">
        <f t="shared" si="60"/>
        <v>0.21752679968448138</v>
      </c>
      <c r="H64" s="19">
        <f t="shared" si="60"/>
        <v>0.77387943630107925</v>
      </c>
      <c r="I64" s="19">
        <f t="shared" si="60"/>
        <v>0.69682279558418125</v>
      </c>
      <c r="J64" s="19">
        <f t="shared" si="60"/>
        <v>0.77153254720953535</v>
      </c>
      <c r="K64" s="19">
        <f>(K35+K36+K37+K38+K39+K40)/(K46+K47+K48+K49+K50+K51+K52+K53+K54)</f>
        <v>0.65118169281770655</v>
      </c>
      <c r="L64" s="19" t="e">
        <f t="shared" ref="L64" si="61">(L35+L36+L37+L38+L39+L40)/(L46+L47+L48+L49+L50+L51+L52+L53+L54)</f>
        <v>#DIV/0!</v>
      </c>
    </row>
    <row r="65" spans="2:22" s="19" customFormat="1" x14ac:dyDescent="0.25">
      <c r="B65" s="20" t="s">
        <v>226</v>
      </c>
      <c r="F65" s="19">
        <f t="shared" ref="F65:J65" si="62">F58/F59</f>
        <v>5.1055835936874141</v>
      </c>
      <c r="G65" s="19">
        <f t="shared" si="62"/>
        <v>2.6488095730340793</v>
      </c>
      <c r="H65" s="19">
        <f t="shared" si="62"/>
        <v>2.4226181162154949</v>
      </c>
      <c r="I65" s="19">
        <f t="shared" si="62"/>
        <v>2.6602646442962463</v>
      </c>
      <c r="J65" s="19">
        <f t="shared" si="62"/>
        <v>1.9508745907136378</v>
      </c>
      <c r="K65" s="19">
        <f>K58/K59</f>
        <v>1.1651813918562295</v>
      </c>
      <c r="L65" s="19" t="e">
        <f t="shared" ref="L65" si="63">L58/L59</f>
        <v>#DIV/0!</v>
      </c>
    </row>
    <row r="66" spans="2:22" s="19" customFormat="1" x14ac:dyDescent="0.25">
      <c r="B66" s="20" t="s">
        <v>227</v>
      </c>
      <c r="F66" s="19">
        <f t="shared" ref="F66:J66" si="64">(F41+F44+F43+F42)/F45</f>
        <v>0.47023422507000012</v>
      </c>
      <c r="G66" s="19">
        <f t="shared" si="64"/>
        <v>0.91030486322318105</v>
      </c>
      <c r="H66" s="19">
        <f t="shared" si="64"/>
        <v>0.78719893932550478</v>
      </c>
      <c r="I66" s="19">
        <f t="shared" si="64"/>
        <v>0.83936540140932114</v>
      </c>
      <c r="J66" s="19">
        <f t="shared" si="64"/>
        <v>0.76974868014161901</v>
      </c>
      <c r="K66" s="19">
        <f>(K41+K44+K43+K42)/K45</f>
        <v>0.73249840037182223</v>
      </c>
    </row>
    <row r="69" spans="2:22" s="3" customFormat="1" x14ac:dyDescent="0.25">
      <c r="B69" s="11" t="s">
        <v>83</v>
      </c>
      <c r="C69" s="3">
        <f t="shared" ref="C69:N69" si="65">C19</f>
        <v>-11.854000000000001</v>
      </c>
      <c r="D69" s="3">
        <f t="shared" si="65"/>
        <v>-10.528999999999993</v>
      </c>
      <c r="E69" s="3">
        <f t="shared" si="65"/>
        <v>-62.838000000000001</v>
      </c>
      <c r="F69" s="3">
        <f t="shared" si="65"/>
        <v>-35.124000000000002</v>
      </c>
      <c r="G69" s="3">
        <f t="shared" si="65"/>
        <v>-4.2470000000000008</v>
      </c>
      <c r="H69" s="3">
        <f t="shared" si="65"/>
        <v>-138.72399999999999</v>
      </c>
      <c r="I69" s="3">
        <f t="shared" si="65"/>
        <v>-35.320999999999998</v>
      </c>
      <c r="J69" s="3">
        <f t="shared" si="65"/>
        <v>-52.569000000000003</v>
      </c>
      <c r="K69" s="3">
        <f t="shared" si="65"/>
        <v>-16.910000000000011</v>
      </c>
      <c r="L69" s="3">
        <f t="shared" si="65"/>
        <v>0</v>
      </c>
      <c r="M69" s="3">
        <f t="shared" si="65"/>
        <v>0</v>
      </c>
      <c r="N69" s="3">
        <f t="shared" si="65"/>
        <v>0</v>
      </c>
      <c r="R69" s="3">
        <f t="shared" ref="R69:S69" si="66">R19</f>
        <v>-46.646000000000001</v>
      </c>
      <c r="S69" s="3">
        <f t="shared" si="66"/>
        <v>-149.46300000000002</v>
      </c>
      <c r="T69" s="3">
        <f>T19</f>
        <v>-230.863</v>
      </c>
      <c r="U69" s="3">
        <f t="shared" ref="U69:V69" si="67">U19</f>
        <v>0</v>
      </c>
      <c r="V69" s="3">
        <f t="shared" si="67"/>
        <v>0</v>
      </c>
    </row>
    <row r="70" spans="2:22" s="3" customFormat="1" x14ac:dyDescent="0.25">
      <c r="B70" s="11" t="s">
        <v>84</v>
      </c>
      <c r="K70" s="3">
        <v>-16.925999999999998</v>
      </c>
      <c r="R70" s="3">
        <v>-45.6</v>
      </c>
      <c r="S70" s="3">
        <v>-149.67099999999999</v>
      </c>
      <c r="T70" s="3">
        <v>-231.065</v>
      </c>
    </row>
    <row r="71" spans="2:22" s="3" customFormat="1" x14ac:dyDescent="0.25">
      <c r="B71" s="11" t="s">
        <v>85</v>
      </c>
      <c r="K71" s="3">
        <v>4.1520000000000001</v>
      </c>
      <c r="R71" s="3">
        <v>7.6139999999999999</v>
      </c>
      <c r="S71" s="3">
        <v>79.36</v>
      </c>
      <c r="T71" s="3">
        <v>97.944999999999993</v>
      </c>
    </row>
    <row r="72" spans="2:22" s="3" customFormat="1" x14ac:dyDescent="0.25">
      <c r="B72" s="11" t="s">
        <v>86</v>
      </c>
      <c r="K72" s="3">
        <v>15.465</v>
      </c>
      <c r="R72" s="3">
        <v>32.072000000000003</v>
      </c>
      <c r="S72" s="3">
        <v>17.361999999999998</v>
      </c>
      <c r="T72" s="3">
        <v>22.704000000000001</v>
      </c>
    </row>
    <row r="73" spans="2:22" s="3" customFormat="1" x14ac:dyDescent="0.25">
      <c r="B73" s="11" t="s">
        <v>87</v>
      </c>
      <c r="K73" s="3">
        <v>5.3810000000000002</v>
      </c>
      <c r="R73" s="3">
        <v>-0.54</v>
      </c>
      <c r="S73" s="3">
        <v>13.944000000000001</v>
      </c>
      <c r="T73" s="3">
        <v>31.661000000000001</v>
      </c>
    </row>
    <row r="74" spans="2:22" s="3" customFormat="1" x14ac:dyDescent="0.25">
      <c r="B74" s="11" t="s">
        <v>88</v>
      </c>
      <c r="R74" s="3">
        <v>9.4E-2</v>
      </c>
      <c r="T74" s="3">
        <v>0</v>
      </c>
    </row>
    <row r="75" spans="2:22" s="3" customFormat="1" x14ac:dyDescent="0.25">
      <c r="B75" s="11" t="s">
        <v>89</v>
      </c>
      <c r="S75" s="3">
        <v>2.5070000000000001</v>
      </c>
      <c r="T75" s="3">
        <v>1.177</v>
      </c>
    </row>
    <row r="76" spans="2:22" s="3" customFormat="1" x14ac:dyDescent="0.25">
      <c r="B76" s="11" t="s">
        <v>15</v>
      </c>
      <c r="S76" s="3">
        <v>2.38</v>
      </c>
    </row>
    <row r="77" spans="2:22" s="3" customFormat="1" x14ac:dyDescent="0.25">
      <c r="B77" s="11" t="s">
        <v>90</v>
      </c>
      <c r="K77" s="3">
        <v>4.851</v>
      </c>
      <c r="R77" s="3">
        <v>0.41</v>
      </c>
      <c r="S77" s="3">
        <v>5.2140000000000004</v>
      </c>
      <c r="T77" s="3">
        <v>9.5630000000000006</v>
      </c>
    </row>
    <row r="78" spans="2:22" s="3" customFormat="1" x14ac:dyDescent="0.25">
      <c r="B78" s="11" t="s">
        <v>91</v>
      </c>
      <c r="S78" s="3">
        <v>15.417</v>
      </c>
      <c r="T78" s="3">
        <v>-24.616</v>
      </c>
    </row>
    <row r="79" spans="2:22" s="3" customFormat="1" x14ac:dyDescent="0.25">
      <c r="B79" s="11" t="s">
        <v>92</v>
      </c>
      <c r="S79" s="11">
        <f>7.401+13.812</f>
        <v>21.213000000000001</v>
      </c>
      <c r="T79" s="3">
        <f>33.612+85.439</f>
        <v>119.05099999999999</v>
      </c>
    </row>
    <row r="80" spans="2:22" s="3" customFormat="1" x14ac:dyDescent="0.25">
      <c r="B80" s="11" t="s">
        <v>93</v>
      </c>
      <c r="S80" s="3">
        <v>0</v>
      </c>
      <c r="T80" s="3">
        <v>6.4210000000000003</v>
      </c>
    </row>
    <row r="81" spans="2:22" s="3" customFormat="1" x14ac:dyDescent="0.25">
      <c r="B81" s="11" t="s">
        <v>14</v>
      </c>
      <c r="K81" s="3">
        <v>1.7509999999999999</v>
      </c>
      <c r="S81" s="3">
        <v>0</v>
      </c>
      <c r="T81" s="3">
        <v>1.1379999999999999</v>
      </c>
    </row>
    <row r="82" spans="2:22" s="3" customFormat="1" x14ac:dyDescent="0.25">
      <c r="B82" s="11" t="s">
        <v>50</v>
      </c>
      <c r="K82" s="3">
        <v>-29.524999999999999</v>
      </c>
      <c r="R82" s="3">
        <v>0.14499999999999999</v>
      </c>
      <c r="S82" s="3">
        <v>-3.7650000000000001</v>
      </c>
      <c r="T82" s="3">
        <v>-2.9340000000000002</v>
      </c>
    </row>
    <row r="83" spans="2:22" s="3" customFormat="1" x14ac:dyDescent="0.25">
      <c r="B83" s="11" t="s">
        <v>94</v>
      </c>
      <c r="K83" s="3">
        <v>-6.9619999999999997</v>
      </c>
      <c r="R83" s="3">
        <v>-0.76600000000000001</v>
      </c>
      <c r="S83" s="3">
        <v>0.9</v>
      </c>
      <c r="T83" s="3">
        <v>-8.3089999999999993</v>
      </c>
    </row>
    <row r="84" spans="2:22" s="3" customFormat="1" x14ac:dyDescent="0.25">
      <c r="B84" s="11" t="s">
        <v>95</v>
      </c>
      <c r="K84" s="3">
        <v>1.93</v>
      </c>
      <c r="R84" s="3">
        <v>0.36399999999999999</v>
      </c>
      <c r="S84" s="3">
        <v>0.32700000000000001</v>
      </c>
      <c r="T84" s="3">
        <v>2.9790000000000001</v>
      </c>
    </row>
    <row r="85" spans="2:22" s="3" customFormat="1" x14ac:dyDescent="0.25">
      <c r="B85" s="11" t="s">
        <v>62</v>
      </c>
      <c r="K85" s="3">
        <v>0.627</v>
      </c>
      <c r="R85" s="3">
        <f>25.584+2.261</f>
        <v>27.844999999999999</v>
      </c>
      <c r="S85" s="3">
        <f>-8.77-2.261</f>
        <v>-11.030999999999999</v>
      </c>
      <c r="T85" s="3">
        <f>2.3-1.55</f>
        <v>0.74999999999999978</v>
      </c>
    </row>
    <row r="86" spans="2:22" s="3" customFormat="1" x14ac:dyDescent="0.25">
      <c r="B86" s="11" t="s">
        <v>96</v>
      </c>
      <c r="K86" s="3">
        <v>-2.3159999999999998</v>
      </c>
      <c r="R86" s="3">
        <f>44.245+0.569</f>
        <v>44.814</v>
      </c>
      <c r="S86" s="3">
        <f>-9.494+0.168</f>
        <v>-9.3260000000000005</v>
      </c>
      <c r="T86" s="3">
        <f>-34.08-1.692</f>
        <v>-35.771999999999998</v>
      </c>
    </row>
    <row r="87" spans="2:22" s="3" customFormat="1" x14ac:dyDescent="0.25">
      <c r="B87" s="11" t="s">
        <v>57</v>
      </c>
      <c r="K87" s="3">
        <v>-77.784000000000006</v>
      </c>
      <c r="R87" s="3">
        <v>-13.75</v>
      </c>
      <c r="S87" s="3">
        <v>41.84</v>
      </c>
      <c r="T87" s="3">
        <v>-78.256</v>
      </c>
    </row>
    <row r="88" spans="2:22" s="3" customFormat="1" x14ac:dyDescent="0.25">
      <c r="B88" s="11" t="s">
        <v>58</v>
      </c>
      <c r="K88" s="3">
        <v>28.684000000000001</v>
      </c>
      <c r="R88" s="3">
        <v>7.4850000000000003</v>
      </c>
      <c r="S88" s="3">
        <v>21.6</v>
      </c>
      <c r="T88" s="3">
        <v>-12.127000000000001</v>
      </c>
    </row>
    <row r="89" spans="2:22" s="3" customFormat="1" x14ac:dyDescent="0.25">
      <c r="B89" s="11" t="s">
        <v>64</v>
      </c>
      <c r="K89" s="3">
        <v>-1.7529999999999999</v>
      </c>
      <c r="S89" s="3">
        <v>13</v>
      </c>
      <c r="T89" s="3">
        <v>-8.1950000000000003</v>
      </c>
    </row>
    <row r="90" spans="2:22" s="3" customFormat="1" x14ac:dyDescent="0.25">
      <c r="B90" s="11" t="s">
        <v>97</v>
      </c>
      <c r="K90" s="3">
        <v>-9.5980000000000008</v>
      </c>
      <c r="R90" s="3">
        <v>-0.44600000000000001</v>
      </c>
      <c r="S90" s="3">
        <v>-47.478999999999999</v>
      </c>
      <c r="T90" s="3">
        <v>-7.524</v>
      </c>
    </row>
    <row r="91" spans="2:22" s="4" customFormat="1" x14ac:dyDescent="0.25">
      <c r="B91" s="4" t="s">
        <v>98</v>
      </c>
      <c r="C91" s="4">
        <f t="shared" ref="C91:N91" si="68">SUM(C70:C90)</f>
        <v>0</v>
      </c>
      <c r="D91" s="4">
        <f t="shared" si="68"/>
        <v>0</v>
      </c>
      <c r="E91" s="4">
        <f t="shared" si="68"/>
        <v>0</v>
      </c>
      <c r="F91" s="4">
        <f t="shared" si="68"/>
        <v>0</v>
      </c>
      <c r="G91" s="4">
        <v>-75.89</v>
      </c>
      <c r="H91" s="4">
        <f t="shared" si="68"/>
        <v>0</v>
      </c>
      <c r="I91" s="4">
        <f t="shared" si="68"/>
        <v>0</v>
      </c>
      <c r="J91" s="4">
        <f t="shared" si="68"/>
        <v>0</v>
      </c>
      <c r="K91" s="4">
        <f t="shared" si="68"/>
        <v>-82.022999999999996</v>
      </c>
      <c r="L91" s="4">
        <f t="shared" si="68"/>
        <v>0</v>
      </c>
      <c r="M91" s="4">
        <f t="shared" si="68"/>
        <v>0</v>
      </c>
      <c r="N91" s="4">
        <f t="shared" si="68"/>
        <v>0</v>
      </c>
      <c r="R91" s="4">
        <f t="shared" ref="R91:S91" si="69">SUM(R70:R90)</f>
        <v>59.741</v>
      </c>
      <c r="S91" s="4">
        <f t="shared" si="69"/>
        <v>13.792000000000009</v>
      </c>
      <c r="T91" s="4">
        <f>SUM(T70:T90)</f>
        <v>-115.40899999999999</v>
      </c>
      <c r="U91" s="4">
        <f t="shared" ref="U91" si="70">SUM(U70:U90)</f>
        <v>0</v>
      </c>
      <c r="V91" s="4">
        <f t="shared" ref="V91" si="71">SUM(V70:V90)</f>
        <v>0</v>
      </c>
    </row>
    <row r="92" spans="2:22" s="3" customFormat="1" x14ac:dyDescent="0.25">
      <c r="B92" s="11" t="s">
        <v>99</v>
      </c>
      <c r="G92" s="3">
        <v>-54.798000000000002</v>
      </c>
      <c r="K92" s="3">
        <v>-249.42</v>
      </c>
      <c r="R92" s="3">
        <v>-131.27799999999999</v>
      </c>
      <c r="S92" s="3">
        <v>-141.80000000000001</v>
      </c>
      <c r="T92" s="3">
        <v>-681.6</v>
      </c>
    </row>
    <row r="93" spans="2:22" s="3" customFormat="1" x14ac:dyDescent="0.25">
      <c r="B93" s="11" t="s">
        <v>100</v>
      </c>
      <c r="G93" s="3">
        <v>25</v>
      </c>
      <c r="R93" s="3">
        <v>0</v>
      </c>
      <c r="S93" s="3">
        <v>19.852</v>
      </c>
      <c r="T93" s="3">
        <v>25</v>
      </c>
    </row>
    <row r="94" spans="2:22" s="3" customFormat="1" x14ac:dyDescent="0.25">
      <c r="B94" s="11" t="s">
        <v>101</v>
      </c>
      <c r="G94" s="3">
        <v>-2.8079999999999998</v>
      </c>
      <c r="R94" s="3">
        <v>0</v>
      </c>
      <c r="S94" s="3">
        <v>-50.088999999999999</v>
      </c>
      <c r="T94" s="3">
        <v>-6.1779999999999999</v>
      </c>
    </row>
    <row r="95" spans="2:22" s="3" customFormat="1" x14ac:dyDescent="0.25">
      <c r="B95" s="11" t="s">
        <v>102</v>
      </c>
      <c r="R95" s="3">
        <v>-0.81</v>
      </c>
      <c r="S95" s="3">
        <v>-0.39100000000000001</v>
      </c>
      <c r="T95" s="3">
        <v>-4.8730000000000002</v>
      </c>
    </row>
    <row r="96" spans="2:22" s="4" customFormat="1" x14ac:dyDescent="0.25">
      <c r="B96" s="4" t="s">
        <v>103</v>
      </c>
      <c r="C96" s="4">
        <f t="shared" ref="C96:N96" si="72">SUM(C92:C95)</f>
        <v>0</v>
      </c>
      <c r="D96" s="4">
        <f t="shared" si="72"/>
        <v>0</v>
      </c>
      <c r="E96" s="4">
        <f t="shared" si="72"/>
        <v>0</v>
      </c>
      <c r="F96" s="4">
        <f t="shared" si="72"/>
        <v>0</v>
      </c>
      <c r="G96" s="4">
        <f t="shared" si="72"/>
        <v>-32.606000000000002</v>
      </c>
      <c r="H96" s="4">
        <f t="shared" si="72"/>
        <v>0</v>
      </c>
      <c r="I96" s="4">
        <f t="shared" si="72"/>
        <v>0</v>
      </c>
      <c r="J96" s="4">
        <f t="shared" si="72"/>
        <v>0</v>
      </c>
      <c r="K96" s="4">
        <f t="shared" si="72"/>
        <v>-249.42</v>
      </c>
      <c r="L96" s="4">
        <f t="shared" si="72"/>
        <v>0</v>
      </c>
      <c r="M96" s="4">
        <f t="shared" si="72"/>
        <v>0</v>
      </c>
      <c r="N96" s="4">
        <f t="shared" si="72"/>
        <v>0</v>
      </c>
      <c r="R96" s="4">
        <f t="shared" ref="R96:S96" si="73">SUM(R92:R95)</f>
        <v>-132.08799999999999</v>
      </c>
      <c r="S96" s="4">
        <f t="shared" si="73"/>
        <v>-172.428</v>
      </c>
      <c r="T96" s="4">
        <f>SUM(T92:T95)</f>
        <v>-667.65100000000007</v>
      </c>
      <c r="U96" s="4">
        <f t="shared" ref="U96" si="74">SUM(U92:U95)</f>
        <v>0</v>
      </c>
      <c r="V96" s="4">
        <f t="shared" ref="V96" si="75">SUM(V92:V95)</f>
        <v>0</v>
      </c>
    </row>
    <row r="97" spans="2:20" s="3" customFormat="1" x14ac:dyDescent="0.25">
      <c r="B97" s="11" t="s">
        <v>104</v>
      </c>
      <c r="K97" s="3">
        <v>-29.931999999999999</v>
      </c>
      <c r="R97" s="3">
        <v>-3.3530000000000002</v>
      </c>
      <c r="S97" s="3">
        <v>-59.966999999999999</v>
      </c>
      <c r="T97" s="3">
        <v>-125.07299999999999</v>
      </c>
    </row>
    <row r="98" spans="2:20" s="3" customFormat="1" x14ac:dyDescent="0.25">
      <c r="B98" s="11" t="s">
        <v>105</v>
      </c>
      <c r="K98" s="3">
        <v>6.5000000000000002E-2</v>
      </c>
      <c r="R98" s="3">
        <f>45.65+36.5</f>
        <v>82.15</v>
      </c>
      <c r="S98" s="11">
        <f>116.554+28</f>
        <v>144.554</v>
      </c>
      <c r="T98" s="3">
        <v>650.08299999999997</v>
      </c>
    </row>
    <row r="99" spans="2:20" s="3" customFormat="1" x14ac:dyDescent="0.25">
      <c r="B99" s="11" t="s">
        <v>106</v>
      </c>
      <c r="K99" s="3">
        <v>-2.4159999999999999</v>
      </c>
      <c r="R99" s="3">
        <v>-10.032</v>
      </c>
      <c r="S99" s="3">
        <f>-21.714-45.5</f>
        <v>-67.213999999999999</v>
      </c>
      <c r="T99" s="3">
        <v>-293.04500000000002</v>
      </c>
    </row>
    <row r="100" spans="2:20" s="3" customFormat="1" x14ac:dyDescent="0.25">
      <c r="B100" s="11" t="s">
        <v>107</v>
      </c>
      <c r="K100" s="3">
        <v>-1E-3</v>
      </c>
      <c r="R100" s="3">
        <f>-0.567-1.548</f>
        <v>-2.1150000000000002</v>
      </c>
      <c r="S100" s="3">
        <v>-0.32</v>
      </c>
      <c r="T100" s="3">
        <v>-42.4</v>
      </c>
    </row>
    <row r="101" spans="2:20" s="3" customFormat="1" x14ac:dyDescent="0.25">
      <c r="B101" s="11" t="s">
        <v>108</v>
      </c>
      <c r="K101" s="3">
        <v>-4.4969999999999999</v>
      </c>
      <c r="R101" s="3">
        <v>-0.16800000000000001</v>
      </c>
      <c r="S101" s="3">
        <v>-0.86099999999999999</v>
      </c>
      <c r="T101" s="3">
        <v>-4.1159999999999997</v>
      </c>
    </row>
    <row r="102" spans="2:20" s="3" customFormat="1" x14ac:dyDescent="0.25">
      <c r="B102" s="11" t="s">
        <v>109</v>
      </c>
      <c r="K102" s="3">
        <v>196.36600000000001</v>
      </c>
      <c r="S102" s="3">
        <v>130.84899999999999</v>
      </c>
      <c r="T102" s="3">
        <v>191.59</v>
      </c>
    </row>
    <row r="103" spans="2:20" s="3" customFormat="1" x14ac:dyDescent="0.25">
      <c r="B103" s="11" t="s">
        <v>110</v>
      </c>
      <c r="K103" s="3">
        <v>-5.9450000000000003</v>
      </c>
      <c r="S103" s="3">
        <v>-0.28399999999999997</v>
      </c>
      <c r="T103" s="3">
        <v>-10.3</v>
      </c>
    </row>
    <row r="104" spans="2:20" s="3" customFormat="1" x14ac:dyDescent="0.25">
      <c r="B104" s="11" t="s">
        <v>111</v>
      </c>
      <c r="K104" s="3">
        <v>175</v>
      </c>
      <c r="T104" s="3">
        <v>198.2</v>
      </c>
    </row>
    <row r="105" spans="2:20" s="3" customFormat="1" x14ac:dyDescent="0.25">
      <c r="B105" s="11" t="s">
        <v>110</v>
      </c>
      <c r="K105" s="3">
        <f>-4.604-0.224</f>
        <v>-4.8280000000000003</v>
      </c>
      <c r="T105" s="3">
        <v>-13.811999999999999</v>
      </c>
    </row>
    <row r="106" spans="2:20" s="3" customFormat="1" x14ac:dyDescent="0.25">
      <c r="B106" s="11" t="s">
        <v>112</v>
      </c>
      <c r="K106" s="3">
        <v>-1.5760000000000001</v>
      </c>
      <c r="T106" s="3">
        <v>-2.6150000000000002</v>
      </c>
    </row>
    <row r="107" spans="2:20" s="3" customFormat="1" x14ac:dyDescent="0.25">
      <c r="B107" s="11" t="s">
        <v>113</v>
      </c>
      <c r="T107" s="3">
        <v>12</v>
      </c>
    </row>
    <row r="108" spans="2:20" s="3" customFormat="1" x14ac:dyDescent="0.25">
      <c r="B108" s="11" t="s">
        <v>114</v>
      </c>
      <c r="T108" s="3">
        <v>-31.341999999999999</v>
      </c>
    </row>
    <row r="109" spans="2:20" s="3" customFormat="1" x14ac:dyDescent="0.25">
      <c r="B109" s="11" t="s">
        <v>115</v>
      </c>
      <c r="T109" s="3">
        <v>450</v>
      </c>
    </row>
    <row r="110" spans="2:20" s="3" customFormat="1" x14ac:dyDescent="0.25">
      <c r="B110" s="11" t="s">
        <v>116</v>
      </c>
      <c r="T110" s="3">
        <v>-51.75</v>
      </c>
    </row>
    <row r="111" spans="2:20" s="3" customFormat="1" x14ac:dyDescent="0.25">
      <c r="B111" s="11" t="s">
        <v>117</v>
      </c>
      <c r="T111" s="3">
        <v>-52.735999999999997</v>
      </c>
    </row>
    <row r="112" spans="2:20" s="3" customFormat="1" x14ac:dyDescent="0.25">
      <c r="B112" s="11" t="s">
        <v>118</v>
      </c>
      <c r="R112" s="3">
        <v>4.1459999999999999</v>
      </c>
    </row>
    <row r="113" spans="2:22" s="4" customFormat="1" x14ac:dyDescent="0.25">
      <c r="B113" s="4" t="s">
        <v>119</v>
      </c>
      <c r="C113" s="4">
        <f t="shared" ref="C113:N113" si="76">SUM(C97:C112)</f>
        <v>0</v>
      </c>
      <c r="D113" s="4">
        <f t="shared" si="76"/>
        <v>0</v>
      </c>
      <c r="E113" s="4">
        <f t="shared" si="76"/>
        <v>0</v>
      </c>
      <c r="F113" s="4">
        <f t="shared" si="76"/>
        <v>0</v>
      </c>
      <c r="G113" s="4">
        <f t="shared" si="76"/>
        <v>0</v>
      </c>
      <c r="H113" s="4">
        <f t="shared" si="76"/>
        <v>0</v>
      </c>
      <c r="I113" s="4">
        <f t="shared" si="76"/>
        <v>0</v>
      </c>
      <c r="J113" s="4">
        <f t="shared" si="76"/>
        <v>0</v>
      </c>
      <c r="K113" s="4">
        <f t="shared" si="76"/>
        <v>322.23600000000005</v>
      </c>
      <c r="L113" s="4">
        <f t="shared" si="76"/>
        <v>0</v>
      </c>
      <c r="M113" s="4">
        <f t="shared" si="76"/>
        <v>0</v>
      </c>
      <c r="N113" s="4">
        <f t="shared" si="76"/>
        <v>0</v>
      </c>
      <c r="R113" s="4">
        <f t="shared" ref="R113:S113" si="77">SUM(R97:R112)</f>
        <v>70.628000000000014</v>
      </c>
      <c r="S113" s="4">
        <f t="shared" si="77"/>
        <v>146.75700000000001</v>
      </c>
      <c r="T113" s="4">
        <f>SUM(T97:T112)</f>
        <v>874.68399999999997</v>
      </c>
      <c r="U113" s="4">
        <f t="shared" ref="U113" si="78">SUM(U97:U112)</f>
        <v>0</v>
      </c>
      <c r="V113" s="4">
        <f t="shared" ref="V113" si="79">SUM(V97:V112)</f>
        <v>0</v>
      </c>
    </row>
    <row r="114" spans="2:22" s="4" customFormat="1" x14ac:dyDescent="0.25">
      <c r="B114" s="4" t="s">
        <v>120</v>
      </c>
      <c r="C114" s="4">
        <f t="shared" ref="C114:N114" si="80">C91+C96+C113</f>
        <v>0</v>
      </c>
      <c r="D114" s="4">
        <f t="shared" si="80"/>
        <v>0</v>
      </c>
      <c r="E114" s="4">
        <f t="shared" si="80"/>
        <v>0</v>
      </c>
      <c r="F114" s="4">
        <f t="shared" si="80"/>
        <v>0</v>
      </c>
      <c r="G114" s="4">
        <f t="shared" si="80"/>
        <v>-108.49600000000001</v>
      </c>
      <c r="H114" s="4">
        <f t="shared" si="80"/>
        <v>0</v>
      </c>
      <c r="I114" s="4">
        <f t="shared" si="80"/>
        <v>0</v>
      </c>
      <c r="J114" s="4">
        <f t="shared" si="80"/>
        <v>0</v>
      </c>
      <c r="K114" s="4">
        <f t="shared" si="80"/>
        <v>-9.2069999999999368</v>
      </c>
      <c r="L114" s="4">
        <f t="shared" si="80"/>
        <v>0</v>
      </c>
      <c r="M114" s="4">
        <f t="shared" si="80"/>
        <v>0</v>
      </c>
      <c r="N114" s="4">
        <f t="shared" si="80"/>
        <v>0</v>
      </c>
      <c r="R114" s="4">
        <f t="shared" ref="R114:S114" si="81">R91+R96+R113</f>
        <v>-1.7189999999999799</v>
      </c>
      <c r="S114" s="4">
        <f t="shared" si="81"/>
        <v>-11.878999999999991</v>
      </c>
      <c r="T114" s="4">
        <f>T91+T96+T113</f>
        <v>91.62399999999991</v>
      </c>
      <c r="U114" s="4">
        <f t="shared" ref="U114" si="82">U91+U96+U113</f>
        <v>0</v>
      </c>
      <c r="V114" s="4">
        <f t="shared" ref="V114" si="83">V91+V96+V113</f>
        <v>0</v>
      </c>
    </row>
    <row r="117" spans="2:22" x14ac:dyDescent="0.25">
      <c r="B117" s="6" t="s">
        <v>121</v>
      </c>
      <c r="G117" s="3">
        <f t="shared" ref="G117:J117" si="84">G91+G92</f>
        <v>-130.68799999999999</v>
      </c>
      <c r="H117" s="3">
        <f t="shared" si="84"/>
        <v>0</v>
      </c>
      <c r="I117" s="3">
        <f t="shared" si="84"/>
        <v>0</v>
      </c>
      <c r="J117" s="3">
        <f t="shared" si="84"/>
        <v>0</v>
      </c>
      <c r="K117" s="3">
        <f>K91+K92</f>
        <v>-331.44299999999998</v>
      </c>
      <c r="L117" s="3">
        <f t="shared" ref="L117:N117" si="85">L91+L92</f>
        <v>0</v>
      </c>
      <c r="M117" s="3">
        <f t="shared" si="85"/>
        <v>0</v>
      </c>
      <c r="N117" s="3">
        <f t="shared" si="85"/>
        <v>0</v>
      </c>
      <c r="R117" s="3">
        <f t="shared" ref="R117:S117" si="86">R91+R92</f>
        <v>-71.536999999999992</v>
      </c>
      <c r="S117" s="3">
        <f t="shared" si="86"/>
        <v>-128.00800000000001</v>
      </c>
      <c r="T117" s="3">
        <f>T91+T92</f>
        <v>-797.00900000000001</v>
      </c>
      <c r="U117" s="3">
        <f t="shared" ref="U117" si="87">U91+U92</f>
        <v>0</v>
      </c>
    </row>
    <row r="118" spans="2:22" s="9" customFormat="1" x14ac:dyDescent="0.25">
      <c r="B118" s="8" t="s">
        <v>122</v>
      </c>
      <c r="S118" s="9">
        <f t="shared" ref="S118" si="88">S117/R117-1</f>
        <v>0.7893956973314511</v>
      </c>
      <c r="T118" s="9">
        <f>T117/S117-1</f>
        <v>5.226243672270483</v>
      </c>
      <c r="U118" s="9">
        <f t="shared" ref="U118" si="89">U117/T117-1</f>
        <v>-1</v>
      </c>
    </row>
    <row r="119" spans="2:22" s="9" customFormat="1" x14ac:dyDescent="0.25">
      <c r="B119" s="8" t="s">
        <v>123</v>
      </c>
      <c r="R119" s="9">
        <f t="shared" ref="R119:S119" si="90">R117/R3</f>
        <v>-1.2914680820335065</v>
      </c>
      <c r="S119" s="9">
        <f t="shared" si="90"/>
        <v>-0.93697755786206804</v>
      </c>
      <c r="T119" s="9">
        <f>T117/T3</f>
        <v>-5.5273765023267423</v>
      </c>
      <c r="U119" s="9" t="e">
        <f t="shared" ref="U119" si="91">U117/U3</f>
        <v>#DIV/0!</v>
      </c>
    </row>
    <row r="120" spans="2:22" s="9" customFormat="1" x14ac:dyDescent="0.25">
      <c r="B120" s="8" t="s">
        <v>124</v>
      </c>
      <c r="R120" s="9">
        <f t="shared" ref="R120:S120" si="92">-R92/R3</f>
        <v>2.369981224725592</v>
      </c>
      <c r="S120" s="9">
        <f t="shared" si="92"/>
        <v>1.0379305801578125</v>
      </c>
      <c r="T120" s="9">
        <f>-T92/T3</f>
        <v>4.7269978431685304</v>
      </c>
      <c r="U120" s="9" t="e">
        <f t="shared" ref="U120" si="93">-U92/U3</f>
        <v>#DIV/0!</v>
      </c>
    </row>
    <row r="124" spans="2:22" x14ac:dyDescent="0.25">
      <c r="B124" s="12" t="s">
        <v>56</v>
      </c>
      <c r="Q124" s="13" t="s">
        <v>135</v>
      </c>
    </row>
    <row r="125" spans="2:22" s="3" customFormat="1" x14ac:dyDescent="0.25">
      <c r="B125" s="11" t="s">
        <v>125</v>
      </c>
      <c r="F125" s="3">
        <v>32.185000000000002</v>
      </c>
      <c r="G125" s="3">
        <v>3.6320000000000001</v>
      </c>
      <c r="H125" s="3">
        <v>33.64</v>
      </c>
      <c r="I125" s="3">
        <v>33.624000000000002</v>
      </c>
      <c r="J125" s="3">
        <v>32.938000000000002</v>
      </c>
      <c r="K125" s="3">
        <v>34.741</v>
      </c>
      <c r="Q125" s="14" t="s">
        <v>137</v>
      </c>
      <c r="S125" s="3">
        <v>32.185000000000002</v>
      </c>
      <c r="T125" s="3">
        <v>32.938000000000002</v>
      </c>
    </row>
    <row r="126" spans="2:22" s="3" customFormat="1" x14ac:dyDescent="0.25">
      <c r="B126" s="11" t="s">
        <v>126</v>
      </c>
      <c r="F126" s="3">
        <v>9.9329999999999998</v>
      </c>
      <c r="G126" s="3">
        <v>9.9329999999999998</v>
      </c>
      <c r="H126" s="3">
        <v>9.9329999999999998</v>
      </c>
      <c r="I126" s="3">
        <v>9.9529999999999994</v>
      </c>
      <c r="J126" s="3">
        <v>9.9139999999999997</v>
      </c>
      <c r="K126" s="3">
        <v>9.9160000000000004</v>
      </c>
      <c r="Q126" s="14" t="s">
        <v>136</v>
      </c>
      <c r="S126" s="3">
        <v>9.9329999999999998</v>
      </c>
      <c r="T126" s="3">
        <v>9.9139999999999997</v>
      </c>
    </row>
    <row r="127" spans="2:22" s="3" customFormat="1" x14ac:dyDescent="0.25">
      <c r="B127" s="11" t="s">
        <v>127</v>
      </c>
      <c r="F127" s="3">
        <v>103.99</v>
      </c>
      <c r="G127" s="3">
        <v>108.294</v>
      </c>
      <c r="H127" s="3">
        <v>108.84699999999999</v>
      </c>
      <c r="I127" s="3">
        <v>109.077</v>
      </c>
      <c r="J127" s="3">
        <v>109.672</v>
      </c>
      <c r="K127" s="3">
        <v>109.746</v>
      </c>
      <c r="Q127" s="14" t="s">
        <v>138</v>
      </c>
      <c r="S127" s="3">
        <v>103.99</v>
      </c>
      <c r="T127" s="3">
        <v>109.672</v>
      </c>
    </row>
    <row r="128" spans="2:22" s="3" customFormat="1" x14ac:dyDescent="0.25">
      <c r="B128" s="11" t="s">
        <v>128</v>
      </c>
      <c r="F128" s="3">
        <v>6.2050000000000001</v>
      </c>
      <c r="G128" s="3">
        <v>19.036999999999999</v>
      </c>
      <c r="H128" s="3">
        <v>19.047000000000001</v>
      </c>
      <c r="I128" s="3">
        <v>19.617000000000001</v>
      </c>
      <c r="J128" s="3">
        <v>20.047000000000001</v>
      </c>
      <c r="K128" s="3">
        <v>20.047000000000001</v>
      </c>
      <c r="Q128" s="14" t="s">
        <v>138</v>
      </c>
      <c r="S128" s="3">
        <v>6.2050000000000001</v>
      </c>
      <c r="T128" s="3">
        <v>20.047000000000001</v>
      </c>
    </row>
    <row r="129" spans="2:21" s="3" customFormat="1" x14ac:dyDescent="0.25">
      <c r="B129" s="11" t="s">
        <v>129</v>
      </c>
      <c r="F129" s="3">
        <v>1.38</v>
      </c>
      <c r="G129" s="3">
        <v>1.38</v>
      </c>
      <c r="H129" s="3">
        <v>1.38</v>
      </c>
      <c r="I129" s="3">
        <v>1.38</v>
      </c>
      <c r="J129" s="3">
        <v>1.423</v>
      </c>
      <c r="K129" s="3">
        <v>1.423</v>
      </c>
      <c r="Q129" s="14" t="s">
        <v>136</v>
      </c>
      <c r="S129" s="3">
        <v>1.38</v>
      </c>
      <c r="T129" s="3">
        <v>1.423</v>
      </c>
    </row>
    <row r="130" spans="2:21" s="3" customFormat="1" x14ac:dyDescent="0.25">
      <c r="B130" s="11" t="s">
        <v>130</v>
      </c>
      <c r="F130" s="3">
        <v>0.44400000000000001</v>
      </c>
      <c r="G130" s="3">
        <v>1.0900000000000001</v>
      </c>
      <c r="H130" s="3">
        <v>1.1419999999999999</v>
      </c>
      <c r="I130" s="3">
        <v>1.1419999999999999</v>
      </c>
      <c r="J130" s="3">
        <v>0.44400000000000001</v>
      </c>
      <c r="K130" s="3">
        <v>0.44400000000000001</v>
      </c>
      <c r="Q130" s="14" t="s">
        <v>139</v>
      </c>
      <c r="S130" s="3">
        <v>0.44400000000000001</v>
      </c>
      <c r="T130" s="3">
        <v>0.44400000000000001</v>
      </c>
    </row>
    <row r="131" spans="2:21" s="3" customFormat="1" x14ac:dyDescent="0.25">
      <c r="B131" s="11" t="s">
        <v>131</v>
      </c>
      <c r="F131" s="3">
        <v>186.869</v>
      </c>
      <c r="G131" s="3">
        <v>313.55700000000002</v>
      </c>
      <c r="H131" s="3">
        <v>609.05499999999995</v>
      </c>
      <c r="I131" s="3">
        <v>838.53300000000002</v>
      </c>
      <c r="J131" s="3">
        <v>1123.1559999999999</v>
      </c>
      <c r="K131" s="3">
        <v>1309.7560000000001</v>
      </c>
      <c r="Q131" s="14" t="s">
        <v>139</v>
      </c>
      <c r="S131" s="3">
        <v>186.869</v>
      </c>
      <c r="T131" s="3">
        <v>1123.1559999999999</v>
      </c>
    </row>
    <row r="132" spans="2:21" s="3" customFormat="1" x14ac:dyDescent="0.25">
      <c r="B132" s="11" t="s">
        <v>132</v>
      </c>
      <c r="F132" s="3">
        <v>1.76</v>
      </c>
      <c r="G132" s="3">
        <v>9.7129999999999992</v>
      </c>
      <c r="H132" s="3">
        <v>9.9320000000000004</v>
      </c>
      <c r="I132" s="3">
        <v>12.303000000000001</v>
      </c>
      <c r="J132" s="3">
        <v>2.1259999999999999</v>
      </c>
      <c r="K132" s="3">
        <v>2.294</v>
      </c>
      <c r="Q132" s="14" t="s">
        <v>139</v>
      </c>
      <c r="S132" s="3">
        <v>1.76</v>
      </c>
      <c r="T132" s="3">
        <v>2.1259999999999999</v>
      </c>
    </row>
    <row r="133" spans="2:21" s="3" customFormat="1" x14ac:dyDescent="0.25">
      <c r="B133" s="11" t="s">
        <v>133</v>
      </c>
      <c r="F133" s="3">
        <v>-13.663</v>
      </c>
      <c r="G133" s="3">
        <v>-17.387</v>
      </c>
      <c r="H133" s="3">
        <v>-20.312000000000001</v>
      </c>
      <c r="I133" s="3">
        <v>-23.422999999999998</v>
      </c>
      <c r="J133" s="3">
        <v>-23.879000000000001</v>
      </c>
      <c r="K133" s="3">
        <v>-26.591999999999999</v>
      </c>
      <c r="S133" s="3">
        <v>-13.663</v>
      </c>
      <c r="T133" s="3">
        <v>-23.879000000000001</v>
      </c>
    </row>
    <row r="134" spans="2:21" s="4" customFormat="1" x14ac:dyDescent="0.25">
      <c r="B134" s="4" t="s">
        <v>134</v>
      </c>
      <c r="C134" s="4">
        <f t="shared" ref="C134:I134" si="94">SUM(C125:C133)</f>
        <v>0</v>
      </c>
      <c r="D134" s="4">
        <f t="shared" si="94"/>
        <v>0</v>
      </c>
      <c r="E134" s="4">
        <f t="shared" si="94"/>
        <v>0</v>
      </c>
      <c r="F134" s="4">
        <f t="shared" si="94"/>
        <v>329.10299999999995</v>
      </c>
      <c r="G134" s="4">
        <f t="shared" si="94"/>
        <v>449.24900000000002</v>
      </c>
      <c r="H134" s="4">
        <f t="shared" si="94"/>
        <v>772.66399999999987</v>
      </c>
      <c r="I134" s="4">
        <f t="shared" si="94"/>
        <v>1002.2060000000001</v>
      </c>
      <c r="J134" s="4">
        <f>SUM(J125:J133)</f>
        <v>1275.8410000000001</v>
      </c>
      <c r="K134" s="4">
        <f t="shared" ref="K134:L134" si="95">SUM(K125:K133)</f>
        <v>1461.7750000000001</v>
      </c>
      <c r="L134" s="4">
        <f t="shared" si="95"/>
        <v>0</v>
      </c>
      <c r="S134" s="4">
        <f t="shared" ref="S134" si="96">SUM(S125:S133)</f>
        <v>329.10299999999995</v>
      </c>
      <c r="T134" s="4">
        <f>SUM(T125:T133)</f>
        <v>1275.8410000000001</v>
      </c>
    </row>
    <row r="136" spans="2:21" s="9" customFormat="1" x14ac:dyDescent="0.25">
      <c r="B136" s="8" t="s">
        <v>209</v>
      </c>
      <c r="G136" s="9">
        <f t="shared" ref="G136:I136" si="97">G131/F131-1</f>
        <v>0.67795086397422799</v>
      </c>
      <c r="H136" s="9">
        <f t="shared" si="97"/>
        <v>0.94240600592555723</v>
      </c>
      <c r="I136" s="9">
        <f t="shared" si="97"/>
        <v>0.3767771383536791</v>
      </c>
      <c r="J136" s="9">
        <f>J131/I131-1</f>
        <v>0.33942969447833282</v>
      </c>
      <c r="K136" s="9">
        <f t="shared" ref="K136:L136" si="98">K131/J131-1</f>
        <v>0.16613898692612605</v>
      </c>
      <c r="L136" s="9">
        <f t="shared" si="98"/>
        <v>-1</v>
      </c>
    </row>
    <row r="139" spans="2:21" s="12" customFormat="1" x14ac:dyDescent="0.25">
      <c r="B139" s="12" t="s">
        <v>140</v>
      </c>
    </row>
    <row r="140" spans="2:21" s="3" customFormat="1" x14ac:dyDescent="0.25">
      <c r="B140" s="11" t="s">
        <v>141</v>
      </c>
      <c r="G140" s="3">
        <v>35.850999999999999</v>
      </c>
      <c r="K140" s="3">
        <v>6.0350000000000001</v>
      </c>
      <c r="R140" s="3">
        <v>-18.181999999999999</v>
      </c>
      <c r="S140" s="3">
        <v>4.8120000000000003</v>
      </c>
      <c r="T140" s="3">
        <v>63.927</v>
      </c>
    </row>
    <row r="141" spans="2:21" s="3" customFormat="1" x14ac:dyDescent="0.25">
      <c r="B141" s="11" t="s">
        <v>142</v>
      </c>
      <c r="G141" s="3">
        <v>-2.9489999999999998</v>
      </c>
      <c r="K141" s="3">
        <v>-2.0219999999999998</v>
      </c>
      <c r="R141" s="3">
        <v>-0.246</v>
      </c>
      <c r="S141" s="3">
        <v>-4.8109999999999999</v>
      </c>
      <c r="T141" s="3">
        <v>-12.086</v>
      </c>
    </row>
    <row r="142" spans="2:21" s="4" customFormat="1" x14ac:dyDescent="0.25">
      <c r="B142" s="4" t="s">
        <v>143</v>
      </c>
      <c r="C142" s="4">
        <f t="shared" ref="C142:L142" si="99">SUM(C140:C141)</f>
        <v>0</v>
      </c>
      <c r="D142" s="4">
        <f t="shared" si="99"/>
        <v>0</v>
      </c>
      <c r="E142" s="4">
        <f t="shared" si="99"/>
        <v>0</v>
      </c>
      <c r="F142" s="4">
        <f t="shared" si="99"/>
        <v>0</v>
      </c>
      <c r="G142" s="4">
        <f t="shared" si="99"/>
        <v>32.902000000000001</v>
      </c>
      <c r="H142" s="4">
        <f t="shared" si="99"/>
        <v>0</v>
      </c>
      <c r="I142" s="4">
        <f t="shared" si="99"/>
        <v>0</v>
      </c>
      <c r="J142" s="4">
        <f t="shared" si="99"/>
        <v>0</v>
      </c>
      <c r="K142" s="4">
        <f t="shared" si="99"/>
        <v>4.0129999999999999</v>
      </c>
      <c r="L142" s="4">
        <f t="shared" si="99"/>
        <v>0</v>
      </c>
      <c r="R142" s="4">
        <f t="shared" ref="R142:S142" si="100">SUM(R140:R141)</f>
        <v>-18.427999999999997</v>
      </c>
      <c r="S142" s="4">
        <f t="shared" si="100"/>
        <v>1.000000000000334E-3</v>
      </c>
      <c r="T142" s="4">
        <f>SUM(T140:T141)</f>
        <v>51.841000000000001</v>
      </c>
      <c r="U142" s="4">
        <f t="shared" ref="U142" si="101">SUM(U140:U141)</f>
        <v>0</v>
      </c>
    </row>
    <row r="143" spans="2:21" s="3" customFormat="1" x14ac:dyDescent="0.25"/>
    <row r="144" spans="2:21" s="3" customFormat="1" x14ac:dyDescent="0.25">
      <c r="B144" s="15" t="s">
        <v>85</v>
      </c>
    </row>
    <row r="145" spans="2:21" s="3" customFormat="1" x14ac:dyDescent="0.25">
      <c r="B145" s="11" t="s">
        <v>141</v>
      </c>
      <c r="G145" s="3">
        <v>3.359</v>
      </c>
      <c r="K145" s="3">
        <v>3.391</v>
      </c>
      <c r="R145" s="3">
        <v>7.0250000000000004</v>
      </c>
      <c r="S145" s="3">
        <v>19.948</v>
      </c>
      <c r="T145" s="3">
        <v>13.311999999999999</v>
      </c>
    </row>
    <row r="146" spans="2:21" s="3" customFormat="1" x14ac:dyDescent="0.25">
      <c r="B146" s="11" t="s">
        <v>142</v>
      </c>
      <c r="G146" s="3">
        <v>0.72199999999999998</v>
      </c>
      <c r="K146" s="3">
        <v>0.69799999999999995</v>
      </c>
      <c r="R146" s="3">
        <v>5.8999999999999997E-2</v>
      </c>
      <c r="S146" s="3">
        <v>1.2330000000000001</v>
      </c>
      <c r="T146" s="3">
        <v>3.7330000000000001</v>
      </c>
    </row>
    <row r="147" spans="2:21" s="3" customFormat="1" x14ac:dyDescent="0.25">
      <c r="B147" s="11" t="s">
        <v>20</v>
      </c>
      <c r="G147" s="3">
        <v>6.2E-2</v>
      </c>
      <c r="K147" s="3">
        <v>6.3E-2</v>
      </c>
      <c r="R147" s="3">
        <v>0.28999999999999998</v>
      </c>
      <c r="S147" s="3">
        <v>0.29599999999999999</v>
      </c>
      <c r="T147" s="3">
        <v>0.24399999999999999</v>
      </c>
    </row>
    <row r="148" spans="2:21" s="4" customFormat="1" x14ac:dyDescent="0.25">
      <c r="B148" s="4" t="s">
        <v>143</v>
      </c>
      <c r="C148" s="4">
        <f t="shared" ref="C148" si="102">SUM(C145:C147)</f>
        <v>0</v>
      </c>
      <c r="D148" s="4">
        <f t="shared" ref="D148" si="103">SUM(D145:D147)</f>
        <v>0</v>
      </c>
      <c r="E148" s="4">
        <f t="shared" ref="E148" si="104">SUM(E145:E147)</f>
        <v>0</v>
      </c>
      <c r="F148" s="4">
        <f t="shared" ref="F148" si="105">SUM(F145:F147)</f>
        <v>0</v>
      </c>
      <c r="G148" s="4">
        <f t="shared" ref="G148" si="106">SUM(G145:G147)</f>
        <v>4.1429999999999998</v>
      </c>
      <c r="H148" s="4">
        <f t="shared" ref="H148" si="107">SUM(H145:H147)</f>
        <v>0</v>
      </c>
      <c r="I148" s="4">
        <f t="shared" ref="I148" si="108">SUM(I145:I147)</f>
        <v>0</v>
      </c>
      <c r="J148" s="4">
        <f t="shared" ref="J148" si="109">SUM(J145:J147)</f>
        <v>0</v>
      </c>
      <c r="K148" s="4">
        <f t="shared" ref="K148" si="110">SUM(K145:K147)</f>
        <v>4.1520000000000001</v>
      </c>
      <c r="L148" s="4">
        <f t="shared" ref="L148" si="111">SUM(L145:L147)</f>
        <v>0</v>
      </c>
      <c r="R148" s="4">
        <f t="shared" ref="R148:S148" si="112">SUM(R145:R147)</f>
        <v>7.3740000000000006</v>
      </c>
      <c r="S148" s="4">
        <f t="shared" si="112"/>
        <v>21.477</v>
      </c>
      <c r="T148" s="4">
        <f>SUM(T145:T147)</f>
        <v>17.288999999999998</v>
      </c>
      <c r="U148" s="4">
        <f>SUM(U145:U147)</f>
        <v>0</v>
      </c>
    </row>
    <row r="149" spans="2:21" s="3" customFormat="1" x14ac:dyDescent="0.25"/>
    <row r="150" spans="2:21" s="3" customFormat="1" x14ac:dyDescent="0.25">
      <c r="B150" s="15" t="s">
        <v>99</v>
      </c>
    </row>
    <row r="151" spans="2:21" s="3" customFormat="1" x14ac:dyDescent="0.25">
      <c r="B151" s="11" t="s">
        <v>141</v>
      </c>
      <c r="G151" s="3">
        <v>141.76400000000001</v>
      </c>
      <c r="K151" s="3">
        <v>132.357</v>
      </c>
      <c r="R151" s="3">
        <v>135.946</v>
      </c>
      <c r="S151" s="3">
        <v>38.265999999999998</v>
      </c>
      <c r="T151" s="3">
        <v>9.32</v>
      </c>
    </row>
    <row r="152" spans="2:21" s="3" customFormat="1" x14ac:dyDescent="0.25">
      <c r="B152" s="11" t="s">
        <v>142</v>
      </c>
      <c r="G152" s="3">
        <v>1363.3409999999999</v>
      </c>
      <c r="K152" s="3">
        <v>1862.047</v>
      </c>
      <c r="R152" s="3">
        <v>9.8130000000000006</v>
      </c>
      <c r="S152" s="3">
        <v>207.3</v>
      </c>
      <c r="T152" s="3">
        <v>976.50599999999997</v>
      </c>
    </row>
    <row r="153" spans="2:21" s="3" customFormat="1" x14ac:dyDescent="0.25">
      <c r="B153" s="17" t="s">
        <v>210</v>
      </c>
      <c r="G153" s="3">
        <v>304.46600000000001</v>
      </c>
      <c r="K153" s="3">
        <v>310.00599999999997</v>
      </c>
    </row>
    <row r="154" spans="2:21" s="3" customFormat="1" x14ac:dyDescent="0.25">
      <c r="B154" s="11" t="s">
        <v>20</v>
      </c>
      <c r="G154" s="3">
        <v>60.518999999999998</v>
      </c>
      <c r="K154" s="3">
        <v>94.584999999999994</v>
      </c>
      <c r="R154" s="3">
        <v>-1.1639999999999999</v>
      </c>
      <c r="S154" s="3">
        <v>4.2910000000000004</v>
      </c>
    </row>
    <row r="155" spans="2:21" s="4" customFormat="1" x14ac:dyDescent="0.25">
      <c r="B155" s="4" t="s">
        <v>143</v>
      </c>
      <c r="C155" s="4">
        <f t="shared" ref="C155:L155" si="113">SUM(C151:C154)</f>
        <v>0</v>
      </c>
      <c r="D155" s="4">
        <f t="shared" si="113"/>
        <v>0</v>
      </c>
      <c r="E155" s="4">
        <f t="shared" si="113"/>
        <v>0</v>
      </c>
      <c r="F155" s="4">
        <f t="shared" si="113"/>
        <v>0</v>
      </c>
      <c r="G155" s="4">
        <f t="shared" si="113"/>
        <v>1870.09</v>
      </c>
      <c r="H155" s="4">
        <f t="shared" si="113"/>
        <v>0</v>
      </c>
      <c r="I155" s="4">
        <f t="shared" si="113"/>
        <v>0</v>
      </c>
      <c r="J155" s="4">
        <f t="shared" si="113"/>
        <v>0</v>
      </c>
      <c r="K155" s="4">
        <f t="shared" si="113"/>
        <v>2398.9949999999999</v>
      </c>
      <c r="L155" s="4">
        <f t="shared" si="113"/>
        <v>0</v>
      </c>
      <c r="R155" s="4">
        <f t="shared" ref="R155:S155" si="114">SUM(R151:R154)</f>
        <v>144.595</v>
      </c>
      <c r="S155" s="4">
        <f t="shared" si="114"/>
        <v>249.857</v>
      </c>
      <c r="T155" s="4">
        <f>SUM(T151:T154)</f>
        <v>985.82600000000002</v>
      </c>
      <c r="U155" s="4">
        <f>SUM(U151:U154)</f>
        <v>0</v>
      </c>
    </row>
    <row r="158" spans="2:21" x14ac:dyDescent="0.25">
      <c r="B158" s="6" t="s">
        <v>144</v>
      </c>
      <c r="J158" s="1">
        <v>205</v>
      </c>
    </row>
  </sheetData>
  <phoneticPr fontId="7" type="noConversion"/>
  <hyperlinks>
    <hyperlink ref="A1" location="Main!A1" display="Main" xr:uid="{7D6C8824-7D8B-4254-914C-705B8A819367}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0BE17-55A0-4AA1-8E0D-E37CA9DDAB81}">
  <dimension ref="A1:Y54"/>
  <sheetViews>
    <sheetView zoomScale="70" zoomScaleNormal="70" workbookViewId="0">
      <selection activeCell="G16" sqref="G16"/>
    </sheetView>
  </sheetViews>
  <sheetFormatPr defaultRowHeight="13.2" x14ac:dyDescent="0.25"/>
  <cols>
    <col min="1" max="1" width="8.88671875" style="6"/>
    <col min="2" max="2" width="16.44140625" style="6" customWidth="1"/>
    <col min="3" max="20" width="8.88671875" style="6"/>
    <col min="21" max="21" width="28.5546875" style="6" bestFit="1" customWidth="1"/>
    <col min="22" max="22" width="9.77734375" style="6" bestFit="1" customWidth="1"/>
    <col min="23" max="23" width="10.88671875" style="6" bestFit="1" customWidth="1"/>
    <col min="24" max="16384" width="8.88671875" style="6"/>
  </cols>
  <sheetData>
    <row r="1" spans="1:25" x14ac:dyDescent="0.25">
      <c r="A1" s="6" t="s">
        <v>145</v>
      </c>
    </row>
    <row r="2" spans="1:25" x14ac:dyDescent="0.25">
      <c r="B2" s="6" t="s">
        <v>146</v>
      </c>
    </row>
    <row r="3" spans="1:25" x14ac:dyDescent="0.25">
      <c r="B3" s="6" t="s">
        <v>147</v>
      </c>
    </row>
    <row r="4" spans="1:25" x14ac:dyDescent="0.25">
      <c r="B4" s="6" t="s">
        <v>148</v>
      </c>
    </row>
    <row r="5" spans="1:25" x14ac:dyDescent="0.25">
      <c r="B5" s="6" t="s">
        <v>149</v>
      </c>
    </row>
    <row r="6" spans="1:25" x14ac:dyDescent="0.25">
      <c r="B6" s="6" t="s">
        <v>150</v>
      </c>
    </row>
    <row r="7" spans="1:25" x14ac:dyDescent="0.25">
      <c r="B7" s="6" t="s">
        <v>151</v>
      </c>
    </row>
    <row r="8" spans="1:25" x14ac:dyDescent="0.25">
      <c r="B8" s="6" t="s">
        <v>152</v>
      </c>
    </row>
    <row r="9" spans="1:25" ht="14.4" x14ac:dyDescent="0.3">
      <c r="B9" s="6" t="s">
        <v>153</v>
      </c>
      <c r="O9"/>
      <c r="V9" s="16">
        <v>45912</v>
      </c>
      <c r="W9" s="16">
        <v>45944</v>
      </c>
    </row>
    <row r="10" spans="1:25" x14ac:dyDescent="0.25">
      <c r="B10" s="6" t="s">
        <v>154</v>
      </c>
      <c r="U10" s="10" t="s">
        <v>200</v>
      </c>
      <c r="V10" s="7">
        <f>200+280+280+5+430</f>
        <v>1195</v>
      </c>
      <c r="W10" s="7">
        <v>4700</v>
      </c>
      <c r="X10" s="7"/>
      <c r="Y10" s="7"/>
    </row>
    <row r="11" spans="1:25" ht="14.4" x14ac:dyDescent="0.3">
      <c r="B11" s="6" t="s">
        <v>155</v>
      </c>
      <c r="M11"/>
    </row>
    <row r="12" spans="1:25" x14ac:dyDescent="0.25">
      <c r="B12" s="6" t="s">
        <v>156</v>
      </c>
    </row>
    <row r="13" spans="1:25" x14ac:dyDescent="0.25">
      <c r="B13" s="10" t="s">
        <v>157</v>
      </c>
    </row>
    <row r="14" spans="1:25" x14ac:dyDescent="0.25">
      <c r="A14" s="6" t="s">
        <v>158</v>
      </c>
    </row>
    <row r="15" spans="1:25" x14ac:dyDescent="0.25">
      <c r="B15" s="6" t="s">
        <v>159</v>
      </c>
    </row>
    <row r="16" spans="1:25" x14ac:dyDescent="0.25">
      <c r="B16" s="6" t="s">
        <v>160</v>
      </c>
    </row>
    <row r="17" spans="1:18" x14ac:dyDescent="0.25">
      <c r="B17" s="6" t="s">
        <v>199</v>
      </c>
    </row>
    <row r="18" spans="1:18" x14ac:dyDescent="0.25">
      <c r="B18" s="6" t="s">
        <v>161</v>
      </c>
    </row>
    <row r="19" spans="1:18" ht="14.4" x14ac:dyDescent="0.3">
      <c r="B19" s="6" t="s">
        <v>162</v>
      </c>
      <c r="O19"/>
    </row>
    <row r="20" spans="1:18" x14ac:dyDescent="0.25">
      <c r="B20" s="6" t="s">
        <v>163</v>
      </c>
    </row>
    <row r="23" spans="1:18" ht="14.4" x14ac:dyDescent="0.3">
      <c r="R23"/>
    </row>
    <row r="25" spans="1:18" x14ac:dyDescent="0.25">
      <c r="A25" s="6" t="s">
        <v>164</v>
      </c>
    </row>
    <row r="26" spans="1:18" x14ac:dyDescent="0.25">
      <c r="B26" s="6" t="s">
        <v>165</v>
      </c>
    </row>
    <row r="27" spans="1:18" x14ac:dyDescent="0.25">
      <c r="B27" s="6" t="s">
        <v>166</v>
      </c>
    </row>
    <row r="28" spans="1:18" x14ac:dyDescent="0.25">
      <c r="B28" s="6" t="s">
        <v>167</v>
      </c>
      <c r="C28" s="6" t="s">
        <v>168</v>
      </c>
    </row>
    <row r="29" spans="1:18" x14ac:dyDescent="0.25">
      <c r="B29" s="6" t="s">
        <v>169</v>
      </c>
      <c r="C29" s="6" t="s">
        <v>170</v>
      </c>
    </row>
    <row r="30" spans="1:18" x14ac:dyDescent="0.25">
      <c r="B30" s="6" t="s">
        <v>171</v>
      </c>
      <c r="C30" s="6" t="s">
        <v>172</v>
      </c>
    </row>
    <row r="31" spans="1:18" x14ac:dyDescent="0.25">
      <c r="B31" s="6" t="s">
        <v>173</v>
      </c>
      <c r="C31" s="6" t="s">
        <v>174</v>
      </c>
    </row>
    <row r="32" spans="1:18" x14ac:dyDescent="0.25">
      <c r="B32" s="6" t="s">
        <v>175</v>
      </c>
      <c r="C32" s="6" t="s">
        <v>176</v>
      </c>
    </row>
    <row r="33" spans="1:3" x14ac:dyDescent="0.25">
      <c r="B33" s="6" t="s">
        <v>177</v>
      </c>
      <c r="C33" s="6" t="s">
        <v>178</v>
      </c>
    </row>
    <row r="34" spans="1:3" x14ac:dyDescent="0.25">
      <c r="B34" s="6" t="s">
        <v>179</v>
      </c>
      <c r="C34" s="6" t="s">
        <v>180</v>
      </c>
    </row>
    <row r="35" spans="1:3" x14ac:dyDescent="0.25">
      <c r="B35" s="6" t="s">
        <v>181</v>
      </c>
      <c r="C35" s="6" t="s">
        <v>182</v>
      </c>
    </row>
    <row r="36" spans="1:3" ht="14.4" x14ac:dyDescent="0.3">
      <c r="C36"/>
    </row>
    <row r="38" spans="1:3" x14ac:dyDescent="0.25">
      <c r="A38" s="6" t="s">
        <v>183</v>
      </c>
    </row>
    <row r="39" spans="1:3" x14ac:dyDescent="0.25">
      <c r="B39" s="6" t="s">
        <v>184</v>
      </c>
    </row>
    <row r="40" spans="1:3" x14ac:dyDescent="0.25">
      <c r="B40" s="6" t="s">
        <v>185</v>
      </c>
    </row>
    <row r="41" spans="1:3" x14ac:dyDescent="0.25">
      <c r="B41" s="6" t="s">
        <v>186</v>
      </c>
    </row>
    <row r="46" spans="1:3" x14ac:dyDescent="0.25">
      <c r="A46" s="6" t="s">
        <v>187</v>
      </c>
    </row>
    <row r="47" spans="1:3" x14ac:dyDescent="0.25">
      <c r="B47" s="6" t="s">
        <v>188</v>
      </c>
    </row>
    <row r="48" spans="1:3" x14ac:dyDescent="0.25">
      <c r="B48" s="6" t="s">
        <v>189</v>
      </c>
    </row>
    <row r="49" spans="2:3" x14ac:dyDescent="0.25">
      <c r="B49" s="6" t="s">
        <v>169</v>
      </c>
      <c r="C49" s="6" t="s">
        <v>190</v>
      </c>
    </row>
    <row r="50" spans="2:3" x14ac:dyDescent="0.25">
      <c r="B50" s="6" t="s">
        <v>175</v>
      </c>
      <c r="C50" s="6" t="s">
        <v>191</v>
      </c>
    </row>
    <row r="51" spans="2:3" x14ac:dyDescent="0.25">
      <c r="B51" s="6" t="s">
        <v>179</v>
      </c>
      <c r="C51" s="6" t="s">
        <v>192</v>
      </c>
    </row>
    <row r="52" spans="2:3" x14ac:dyDescent="0.25">
      <c r="B52" s="6" t="s">
        <v>193</v>
      </c>
      <c r="C52" s="6" t="s">
        <v>194</v>
      </c>
    </row>
    <row r="53" spans="2:3" x14ac:dyDescent="0.25">
      <c r="B53" s="6" t="s">
        <v>195</v>
      </c>
      <c r="C53" s="6" t="s">
        <v>196</v>
      </c>
    </row>
    <row r="54" spans="2:3" x14ac:dyDescent="0.25">
      <c r="B54" s="6" t="s">
        <v>197</v>
      </c>
      <c r="C54" s="6" t="s">
        <v>198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Model</vt:lpstr>
      <vt:lpstr>Data Centers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Gega Mukhigulashvili</dc:creator>
  <cp:lastModifiedBy>Gega Mukhigulashvili</cp:lastModifiedBy>
  <dcterms:created xsi:type="dcterms:W3CDTF">2015-06-05T18:17:20Z</dcterms:created>
  <dcterms:modified xsi:type="dcterms:W3CDTF">2025-10-14T13:35:53Z</dcterms:modified>
</cp:coreProperties>
</file>