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09615683-57F2-4C9B-A91D-7D8359D079B3}" xr6:coauthVersionLast="47" xr6:coauthVersionMax="47" xr10:uidLastSave="{00000000-0000-0000-0000-000000000000}"/>
  <bookViews>
    <workbookView xWindow="24336" yWindow="2856" windowWidth="17280" windowHeight="8880" xr2:uid="{00000000-000D-0000-FFFF-FFFF00000000}"/>
  </bookViews>
  <sheets>
    <sheet name="Main" sheetId="1" r:id="rId1"/>
    <sheet name="Model" sheetId="2" r:id="rId2"/>
    <sheet name="Data Centers" sheetId="3" r:id="rId3"/>
    <sheet name="Product Roadmap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I69" i="2"/>
  <c r="H69" i="2"/>
  <c r="G69" i="2"/>
  <c r="F69" i="2"/>
  <c r="E69" i="2"/>
  <c r="D69" i="2"/>
  <c r="N69" i="2"/>
  <c r="M69" i="2"/>
  <c r="L69" i="2"/>
  <c r="K69" i="2"/>
  <c r="J69" i="2"/>
  <c r="I91" i="2"/>
  <c r="H91" i="2"/>
  <c r="G91" i="2"/>
  <c r="F91" i="2"/>
  <c r="E91" i="2"/>
  <c r="D91" i="2"/>
  <c r="C91" i="2"/>
  <c r="N91" i="2"/>
  <c r="M91" i="2"/>
  <c r="L91" i="2"/>
  <c r="K91" i="2"/>
  <c r="J91" i="2"/>
  <c r="I68" i="2"/>
  <c r="H68" i="2"/>
  <c r="G68" i="2"/>
  <c r="F68" i="2"/>
  <c r="E68" i="2"/>
  <c r="D68" i="2"/>
  <c r="N68" i="2"/>
  <c r="M68" i="2"/>
  <c r="L68" i="2"/>
  <c r="K68" i="2"/>
  <c r="V15" i="2"/>
  <c r="V13" i="2"/>
  <c r="V10" i="2"/>
  <c r="V9" i="2"/>
  <c r="V8" i="2"/>
  <c r="V7" i="2"/>
  <c r="V6" i="2"/>
  <c r="V4" i="2"/>
  <c r="V3" i="2"/>
  <c r="V5" i="2" s="1"/>
  <c r="V20" i="2" s="1"/>
  <c r="T98" i="2"/>
  <c r="U101" i="2"/>
  <c r="T83" i="2"/>
  <c r="T81" i="2"/>
  <c r="T84" i="2" s="1"/>
  <c r="T75" i="2"/>
  <c r="T76" i="2" s="1"/>
  <c r="V84" i="2"/>
  <c r="U84" i="2"/>
  <c r="V76" i="2"/>
  <c r="V87" i="2" s="1"/>
  <c r="U76" i="2"/>
  <c r="V62" i="2"/>
  <c r="V64" i="2" s="1"/>
  <c r="V48" i="2"/>
  <c r="V67" i="2" s="1"/>
  <c r="V29" i="2"/>
  <c r="T62" i="2"/>
  <c r="T64" i="2" s="1"/>
  <c r="T48" i="2"/>
  <c r="T67" i="2" s="1"/>
  <c r="T29" i="2"/>
  <c r="U62" i="2"/>
  <c r="U64" i="2" s="1"/>
  <c r="U48" i="2"/>
  <c r="U67" i="2" s="1"/>
  <c r="U29" i="2"/>
  <c r="V26" i="2"/>
  <c r="U26" i="2"/>
  <c r="U25" i="2"/>
  <c r="T9" i="2"/>
  <c r="T11" i="2" s="1"/>
  <c r="V11" i="2"/>
  <c r="U11" i="2"/>
  <c r="U5" i="2"/>
  <c r="U20" i="2" s="1"/>
  <c r="T5" i="2"/>
  <c r="T20" i="2" s="1"/>
  <c r="H101" i="2"/>
  <c r="D75" i="2"/>
  <c r="D76" i="2" s="1"/>
  <c r="C84" i="2"/>
  <c r="C76" i="2"/>
  <c r="D84" i="2"/>
  <c r="I26" i="2"/>
  <c r="H26" i="2"/>
  <c r="G26" i="2"/>
  <c r="F26" i="2"/>
  <c r="E26" i="2"/>
  <c r="D26" i="2"/>
  <c r="N26" i="2"/>
  <c r="M26" i="2"/>
  <c r="L26" i="2"/>
  <c r="K26" i="2"/>
  <c r="J26" i="2"/>
  <c r="D118" i="2"/>
  <c r="C118" i="2"/>
  <c r="D113" i="2"/>
  <c r="D112" i="2" s="1"/>
  <c r="C113" i="2"/>
  <c r="C112" i="2" s="1"/>
  <c r="I118" i="2"/>
  <c r="H118" i="2"/>
  <c r="G118" i="2"/>
  <c r="F118" i="2"/>
  <c r="E118" i="2"/>
  <c r="N118" i="2"/>
  <c r="M118" i="2"/>
  <c r="L118" i="2"/>
  <c r="K118" i="2"/>
  <c r="J118" i="2"/>
  <c r="N113" i="2"/>
  <c r="N112" i="2" s="1"/>
  <c r="M113" i="2"/>
  <c r="M112" i="2" s="1"/>
  <c r="L113" i="2"/>
  <c r="L112" i="2" s="1"/>
  <c r="K113" i="2"/>
  <c r="K112" i="2" s="1"/>
  <c r="I113" i="2"/>
  <c r="H113" i="2"/>
  <c r="H112" i="2" s="1"/>
  <c r="G113" i="2"/>
  <c r="G112" i="2" s="1"/>
  <c r="F113" i="2"/>
  <c r="F112" i="2" s="1"/>
  <c r="E113" i="2"/>
  <c r="I112" i="2"/>
  <c r="E112" i="2"/>
  <c r="J113" i="2"/>
  <c r="J112" i="2" s="1"/>
  <c r="J95" i="2"/>
  <c r="J105" i="2" s="1"/>
  <c r="I84" i="2"/>
  <c r="H84" i="2"/>
  <c r="G84" i="2"/>
  <c r="F84" i="2"/>
  <c r="E84" i="2"/>
  <c r="N84" i="2"/>
  <c r="M84" i="2"/>
  <c r="L84" i="2"/>
  <c r="K84" i="2"/>
  <c r="J84" i="2"/>
  <c r="I76" i="2"/>
  <c r="H76" i="2"/>
  <c r="G76" i="2"/>
  <c r="F76" i="2"/>
  <c r="E76" i="2"/>
  <c r="N76" i="2"/>
  <c r="M76" i="2"/>
  <c r="L76" i="2"/>
  <c r="K76" i="2"/>
  <c r="J76" i="2"/>
  <c r="I10" i="1"/>
  <c r="I29" i="2"/>
  <c r="H29" i="2"/>
  <c r="G29" i="2"/>
  <c r="F29" i="2"/>
  <c r="E29" i="2"/>
  <c r="D29" i="2"/>
  <c r="C29" i="2"/>
  <c r="N29" i="2"/>
  <c r="M29" i="2"/>
  <c r="L29" i="2"/>
  <c r="K29" i="2"/>
  <c r="I62" i="2"/>
  <c r="I64" i="2" s="1"/>
  <c r="H62" i="2"/>
  <c r="H64" i="2" s="1"/>
  <c r="G62" i="2"/>
  <c r="G64" i="2" s="1"/>
  <c r="F62" i="2"/>
  <c r="F64" i="2" s="1"/>
  <c r="E62" i="2"/>
  <c r="E64" i="2" s="1"/>
  <c r="D62" i="2"/>
  <c r="D64" i="2" s="1"/>
  <c r="C62" i="2"/>
  <c r="C64" i="2" s="1"/>
  <c r="N62" i="2"/>
  <c r="N64" i="2" s="1"/>
  <c r="M62" i="2"/>
  <c r="M64" i="2" s="1"/>
  <c r="L62" i="2"/>
  <c r="L64" i="2" s="1"/>
  <c r="K62" i="2"/>
  <c r="K64" i="2" s="1"/>
  <c r="J59" i="2"/>
  <c r="J55" i="2"/>
  <c r="J68" i="2" s="1"/>
  <c r="I48" i="2"/>
  <c r="I67" i="2" s="1"/>
  <c r="H48" i="2"/>
  <c r="H67" i="2" s="1"/>
  <c r="G48" i="2"/>
  <c r="G67" i="2" s="1"/>
  <c r="F48" i="2"/>
  <c r="F67" i="2" s="1"/>
  <c r="E48" i="2"/>
  <c r="E67" i="2" s="1"/>
  <c r="D48" i="2"/>
  <c r="D67" i="2" s="1"/>
  <c r="C48" i="2"/>
  <c r="N48" i="2"/>
  <c r="N67" i="2" s="1"/>
  <c r="M48" i="2"/>
  <c r="M67" i="2" s="1"/>
  <c r="L48" i="2"/>
  <c r="L67" i="2" s="1"/>
  <c r="K48" i="2"/>
  <c r="K67" i="2" s="1"/>
  <c r="J48" i="2"/>
  <c r="J67" i="2" s="1"/>
  <c r="I25" i="2"/>
  <c r="H25" i="2"/>
  <c r="G25" i="2"/>
  <c r="F25" i="2"/>
  <c r="N25" i="2"/>
  <c r="M25" i="2"/>
  <c r="L25" i="2"/>
  <c r="K25" i="2"/>
  <c r="J25" i="2"/>
  <c r="I8" i="1"/>
  <c r="I11" i="2"/>
  <c r="H11" i="2"/>
  <c r="G11" i="2"/>
  <c r="F11" i="2"/>
  <c r="E11" i="2"/>
  <c r="D11" i="2"/>
  <c r="C11" i="2"/>
  <c r="N11" i="2"/>
  <c r="M11" i="2"/>
  <c r="L11" i="2"/>
  <c r="K11" i="2"/>
  <c r="J11" i="2"/>
  <c r="I5" i="2"/>
  <c r="H5" i="2"/>
  <c r="G5" i="2"/>
  <c r="G20" i="2" s="1"/>
  <c r="F5" i="2"/>
  <c r="F12" i="2" s="1"/>
  <c r="F14" i="2" s="1"/>
  <c r="F16" i="2" s="1"/>
  <c r="F18" i="2" s="1"/>
  <c r="E5" i="2"/>
  <c r="E20" i="2" s="1"/>
  <c r="D5" i="2"/>
  <c r="C5" i="2"/>
  <c r="N5" i="2"/>
  <c r="N20" i="2" s="1"/>
  <c r="M5" i="2"/>
  <c r="M20" i="2" s="1"/>
  <c r="L5" i="2"/>
  <c r="L12" i="2" s="1"/>
  <c r="K5" i="2"/>
  <c r="J5" i="2"/>
  <c r="J12" i="2" s="1"/>
  <c r="J14" i="2" s="1"/>
  <c r="J16" i="2" s="1"/>
  <c r="C20" i="3"/>
  <c r="C11" i="3"/>
  <c r="C21" i="3" s="1"/>
  <c r="I9" i="1" l="1"/>
  <c r="F87" i="2"/>
  <c r="J103" i="2"/>
  <c r="L87" i="2"/>
  <c r="V25" i="2"/>
  <c r="M87" i="2"/>
  <c r="N87" i="2"/>
  <c r="T87" i="2"/>
  <c r="T89" i="2" s="1"/>
  <c r="U88" i="2" s="1"/>
  <c r="U87" i="2"/>
  <c r="T12" i="2"/>
  <c r="T14" i="2" s="1"/>
  <c r="U12" i="2"/>
  <c r="U21" i="2" s="1"/>
  <c r="V12" i="2"/>
  <c r="M12" i="2"/>
  <c r="M21" i="2" s="1"/>
  <c r="J87" i="2"/>
  <c r="F95" i="2"/>
  <c r="K87" i="2"/>
  <c r="C87" i="2"/>
  <c r="C89" i="2" s="1"/>
  <c r="D88" i="2" s="1"/>
  <c r="G87" i="2"/>
  <c r="D87" i="2"/>
  <c r="H87" i="2"/>
  <c r="H12" i="2"/>
  <c r="H14" i="2" s="1"/>
  <c r="E87" i="2"/>
  <c r="I87" i="2"/>
  <c r="K12" i="2"/>
  <c r="I12" i="2"/>
  <c r="I14" i="2" s="1"/>
  <c r="L20" i="2"/>
  <c r="N12" i="2"/>
  <c r="N21" i="2" s="1"/>
  <c r="J22" i="2"/>
  <c r="H20" i="2"/>
  <c r="J21" i="2"/>
  <c r="I20" i="2"/>
  <c r="J20" i="2"/>
  <c r="F21" i="2"/>
  <c r="G12" i="2"/>
  <c r="G14" i="2" s="1"/>
  <c r="K20" i="2"/>
  <c r="C20" i="2"/>
  <c r="C12" i="2"/>
  <c r="D20" i="2"/>
  <c r="D12" i="2"/>
  <c r="I11" i="1"/>
  <c r="J29" i="2"/>
  <c r="J62" i="2"/>
  <c r="J64" i="2" s="1"/>
  <c r="J23" i="2"/>
  <c r="J18" i="2"/>
  <c r="K14" i="2"/>
  <c r="K21" i="2"/>
  <c r="L14" i="2"/>
  <c r="L21" i="2"/>
  <c r="E12" i="2"/>
  <c r="F22" i="2"/>
  <c r="F20" i="2"/>
  <c r="F23" i="2"/>
  <c r="I13" i="1" l="1"/>
  <c r="H21" i="2"/>
  <c r="U89" i="2"/>
  <c r="V88" i="2" s="1"/>
  <c r="V89" i="2" s="1"/>
  <c r="T21" i="2"/>
  <c r="U14" i="2"/>
  <c r="U22" i="2" s="1"/>
  <c r="V21" i="2"/>
  <c r="V14" i="2"/>
  <c r="T22" i="2"/>
  <c r="T16" i="2"/>
  <c r="T95" i="2" s="1"/>
  <c r="F103" i="2"/>
  <c r="J107" i="2" s="1"/>
  <c r="F105" i="2"/>
  <c r="J108" i="2" s="1"/>
  <c r="M14" i="2"/>
  <c r="D89" i="2"/>
  <c r="E88" i="2" s="1"/>
  <c r="E89" i="2" s="1"/>
  <c r="F88" i="2" s="1"/>
  <c r="F89" i="2" s="1"/>
  <c r="G88" i="2" s="1"/>
  <c r="G89" i="2" s="1"/>
  <c r="H88" i="2" s="1"/>
  <c r="H89" i="2" s="1"/>
  <c r="I88" i="2" s="1"/>
  <c r="I89" i="2" s="1"/>
  <c r="J88" i="2" s="1"/>
  <c r="J89" i="2" s="1"/>
  <c r="K88" i="2" s="1"/>
  <c r="K89" i="2" s="1"/>
  <c r="L88" i="2" s="1"/>
  <c r="L89" i="2" s="1"/>
  <c r="M88" i="2" s="1"/>
  <c r="M89" i="2" s="1"/>
  <c r="N88" i="2" s="1"/>
  <c r="N89" i="2" s="1"/>
  <c r="G21" i="2"/>
  <c r="N14" i="2"/>
  <c r="N22" i="2" s="1"/>
  <c r="I21" i="2"/>
  <c r="E14" i="2"/>
  <c r="E21" i="2"/>
  <c r="G22" i="2"/>
  <c r="G16" i="2"/>
  <c r="G95" i="2" s="1"/>
  <c r="L16" i="2"/>
  <c r="L95" i="2" s="1"/>
  <c r="L22" i="2"/>
  <c r="K22" i="2"/>
  <c r="K16" i="2"/>
  <c r="K95" i="2" s="1"/>
  <c r="I22" i="2"/>
  <c r="I16" i="2"/>
  <c r="I95" i="2" s="1"/>
  <c r="D14" i="2"/>
  <c r="D21" i="2"/>
  <c r="C14" i="2"/>
  <c r="C21" i="2"/>
  <c r="H22" i="2"/>
  <c r="H16" i="2"/>
  <c r="H95" i="2" s="1"/>
  <c r="T105" i="2" l="1"/>
  <c r="T103" i="2"/>
  <c r="U16" i="2"/>
  <c r="T23" i="2"/>
  <c r="T18" i="2"/>
  <c r="V22" i="2"/>
  <c r="V16" i="2"/>
  <c r="V95" i="2" s="1"/>
  <c r="N16" i="2"/>
  <c r="N95" i="2" s="1"/>
  <c r="K103" i="2"/>
  <c r="K105" i="2"/>
  <c r="M22" i="2"/>
  <c r="M16" i="2"/>
  <c r="L105" i="2"/>
  <c r="L103" i="2"/>
  <c r="G103" i="2"/>
  <c r="G105" i="2"/>
  <c r="H105" i="2"/>
  <c r="H103" i="2"/>
  <c r="I103" i="2"/>
  <c r="I105" i="2"/>
  <c r="E22" i="2"/>
  <c r="E16" i="2"/>
  <c r="N23" i="2"/>
  <c r="N18" i="2"/>
  <c r="H18" i="2"/>
  <c r="H23" i="2"/>
  <c r="K18" i="2"/>
  <c r="K23" i="2"/>
  <c r="C22" i="2"/>
  <c r="C16" i="2"/>
  <c r="C95" i="2" s="1"/>
  <c r="L18" i="2"/>
  <c r="L23" i="2"/>
  <c r="G18" i="2"/>
  <c r="G23" i="2"/>
  <c r="D22" i="2"/>
  <c r="D16" i="2"/>
  <c r="D95" i="2" s="1"/>
  <c r="I18" i="2"/>
  <c r="I23" i="2"/>
  <c r="U23" i="2" l="1"/>
  <c r="U95" i="2"/>
  <c r="V103" i="2"/>
  <c r="V105" i="2"/>
  <c r="U18" i="2"/>
  <c r="V23" i="2"/>
  <c r="V18" i="2"/>
  <c r="D105" i="2"/>
  <c r="H108" i="2" s="1"/>
  <c r="D103" i="2"/>
  <c r="H107" i="2" s="1"/>
  <c r="M95" i="2"/>
  <c r="M23" i="2"/>
  <c r="M18" i="2"/>
  <c r="E95" i="2"/>
  <c r="E103" i="2" s="1"/>
  <c r="I107" i="2" s="1"/>
  <c r="E18" i="2"/>
  <c r="N105" i="2"/>
  <c r="N108" i="2" s="1"/>
  <c r="N103" i="2"/>
  <c r="N107" i="2" s="1"/>
  <c r="C105" i="2"/>
  <c r="G108" i="2" s="1"/>
  <c r="C103" i="2"/>
  <c r="G107" i="2" s="1"/>
  <c r="K108" i="2"/>
  <c r="K107" i="2"/>
  <c r="L108" i="2"/>
  <c r="L107" i="2"/>
  <c r="C23" i="2"/>
  <c r="C18" i="2"/>
  <c r="D23" i="2"/>
  <c r="D18" i="2"/>
  <c r="E23" i="2"/>
  <c r="E105" i="2" l="1"/>
  <c r="I108" i="2" s="1"/>
  <c r="U103" i="2"/>
  <c r="U107" i="2" s="1"/>
  <c r="U105" i="2"/>
  <c r="U108" i="2" s="1"/>
  <c r="M105" i="2"/>
  <c r="M108" i="2" s="1"/>
  <c r="M103" i="2"/>
  <c r="M107" i="2" s="1"/>
  <c r="V107" i="2" l="1"/>
  <c r="V108" i="2"/>
</calcChain>
</file>

<file path=xl/sharedStrings.xml><?xml version="1.0" encoding="utf-8"?>
<sst xmlns="http://schemas.openxmlformats.org/spreadsheetml/2006/main" count="231" uniqueCount="199">
  <si>
    <t>P</t>
  </si>
  <si>
    <t>S/O</t>
  </si>
  <si>
    <t>MC</t>
  </si>
  <si>
    <t>C</t>
  </si>
  <si>
    <t>D</t>
  </si>
  <si>
    <t>EV</t>
  </si>
  <si>
    <t>Main</t>
  </si>
  <si>
    <t>Q225</t>
  </si>
  <si>
    <t>Q323</t>
  </si>
  <si>
    <t>Q423</t>
  </si>
  <si>
    <t>Q124</t>
  </si>
  <si>
    <t>Q224</t>
  </si>
  <si>
    <t>Q324</t>
  </si>
  <si>
    <t>Q424</t>
  </si>
  <si>
    <t>Q125</t>
  </si>
  <si>
    <t>Q325</t>
  </si>
  <si>
    <t>Q425</t>
  </si>
  <si>
    <t>Q126</t>
  </si>
  <si>
    <t>Q226</t>
  </si>
  <si>
    <t>Q326</t>
  </si>
  <si>
    <t>Q426</t>
  </si>
  <si>
    <t>Site/Location</t>
  </si>
  <si>
    <t>Capacity (MW)</t>
  </si>
  <si>
    <t>Status</t>
  </si>
  <si>
    <t>Timing</t>
  </si>
  <si>
    <t>Electrical capacity</t>
  </si>
  <si>
    <t>Knoxville, TN</t>
  </si>
  <si>
    <t>Rockdale, TX</t>
  </si>
  <si>
    <t>Wenatchee, WA</t>
  </si>
  <si>
    <t>Molde, Norway</t>
  </si>
  <si>
    <t>Tydal, Norway</t>
  </si>
  <si>
    <t>Gedu, Bhutan</t>
  </si>
  <si>
    <t>Jigmeling, Bhutan</t>
  </si>
  <si>
    <t>Total electicity Capacity</t>
  </si>
  <si>
    <t>Pipeline capacity</t>
  </si>
  <si>
    <t>Massillon, OH</t>
  </si>
  <si>
    <t>Clarington, OH</t>
  </si>
  <si>
    <t>Alberta, Canada</t>
  </si>
  <si>
    <t>Ormia Region, Ethiopia</t>
  </si>
  <si>
    <t>Total pilepine capacity</t>
  </si>
  <si>
    <t>Total global electrical capacity</t>
  </si>
  <si>
    <t>Online</t>
  </si>
  <si>
    <t>In progress</t>
  </si>
  <si>
    <t>Completed</t>
  </si>
  <si>
    <t>Q227</t>
  </si>
  <si>
    <t>Est. 26</t>
  </si>
  <si>
    <t>Revenue</t>
  </si>
  <si>
    <t>COGS</t>
  </si>
  <si>
    <t>Gross Profit</t>
  </si>
  <si>
    <t>Selling</t>
  </si>
  <si>
    <t>G&amp;A</t>
  </si>
  <si>
    <t>R&amp;D</t>
  </si>
  <si>
    <t>Other OpInc</t>
  </si>
  <si>
    <t>Other net gain</t>
  </si>
  <si>
    <t>OpEx</t>
  </si>
  <si>
    <t>OpInc</t>
  </si>
  <si>
    <t>Finance income</t>
  </si>
  <si>
    <t>Pretax Income</t>
  </si>
  <si>
    <t>Taxes</t>
  </si>
  <si>
    <t>Net Income</t>
  </si>
  <si>
    <t>EPS</t>
  </si>
  <si>
    <t>Gross Margin</t>
  </si>
  <si>
    <t>Tax Margin</t>
  </si>
  <si>
    <t>Net Margin</t>
  </si>
  <si>
    <t>YoY Revenue</t>
  </si>
  <si>
    <t>Op Margin</t>
  </si>
  <si>
    <t>Net Cash</t>
  </si>
  <si>
    <t>Cash</t>
  </si>
  <si>
    <t>Restricted cash</t>
  </si>
  <si>
    <t>Crypto</t>
  </si>
  <si>
    <t>Trade rec.</t>
  </si>
  <si>
    <t>Due from a related party</t>
  </si>
  <si>
    <t>Prepaymentss and OCA</t>
  </si>
  <si>
    <t>Inventories</t>
  </si>
  <si>
    <t>Finanical assets at fair value through P&amp;L</t>
  </si>
  <si>
    <t>Restricted cash, NC</t>
  </si>
  <si>
    <t>Prepayments and ONCA</t>
  </si>
  <si>
    <t>Finanical assets at fair value through P&amp;L, NC</t>
  </si>
  <si>
    <t>Mining rigs, NC</t>
  </si>
  <si>
    <t>ROU assets</t>
  </si>
  <si>
    <t>PP&amp;A</t>
  </si>
  <si>
    <t>Investment properties</t>
  </si>
  <si>
    <t>Intangible assets</t>
  </si>
  <si>
    <t>Goodwill</t>
  </si>
  <si>
    <t>Deferred tax assets</t>
  </si>
  <si>
    <t>Total assets</t>
  </si>
  <si>
    <t>Trade pay.</t>
  </si>
  <si>
    <t>A/P &amp; accruals</t>
  </si>
  <si>
    <t xml:space="preserve">Amounds due </t>
  </si>
  <si>
    <t>Income tax pay.</t>
  </si>
  <si>
    <t>Derivative liabilities</t>
  </si>
  <si>
    <t>Deferred revenue</t>
  </si>
  <si>
    <t>Borrowings</t>
  </si>
  <si>
    <t>Lease liabilities</t>
  </si>
  <si>
    <t>A/P &amp; accruals, NC</t>
  </si>
  <si>
    <t>Deferred revenue, NC</t>
  </si>
  <si>
    <t>Borrowings, NC</t>
  </si>
  <si>
    <t>Lease liabilities, NC</t>
  </si>
  <si>
    <t>Deferred tax liabilities, NC</t>
  </si>
  <si>
    <t>Total liabilities</t>
  </si>
  <si>
    <t>SE</t>
  </si>
  <si>
    <t>L+SE</t>
  </si>
  <si>
    <t>Model NI</t>
  </si>
  <si>
    <t>Cash used in operating activities</t>
  </si>
  <si>
    <t>Interest on debt</t>
  </si>
  <si>
    <t>Interest on leases</t>
  </si>
  <si>
    <t>Interest received</t>
  </si>
  <si>
    <t>Income tax paid</t>
  </si>
  <si>
    <t>CFFI</t>
  </si>
  <si>
    <t>CFFO</t>
  </si>
  <si>
    <t>CapEx</t>
  </si>
  <si>
    <t>Pmnt on mining rigs</t>
  </si>
  <si>
    <t>Purch of fin. Assets</t>
  </si>
  <si>
    <t>Purch of crypto</t>
  </si>
  <si>
    <t>Proceeds from PP&amp;A disposal</t>
  </si>
  <si>
    <t>Proceeds from crypto disposal</t>
  </si>
  <si>
    <t>Other</t>
  </si>
  <si>
    <t>CFFF</t>
  </si>
  <si>
    <t>CF</t>
  </si>
  <si>
    <t>BOP Cash</t>
  </si>
  <si>
    <t>EOP Cash</t>
  </si>
  <si>
    <t>FX adj.</t>
  </si>
  <si>
    <t>D&amp;A</t>
  </si>
  <si>
    <t>Interest expense</t>
  </si>
  <si>
    <t>Share-based comp.</t>
  </si>
  <si>
    <t>Change in fair value of derivative liabilities</t>
  </si>
  <si>
    <t>Changein fair value of crypto</t>
  </si>
  <si>
    <t>Loss on extinguishment of convertible senior notes</t>
  </si>
  <si>
    <t>Adj. EBITDA</t>
  </si>
  <si>
    <t>Adj. NI</t>
  </si>
  <si>
    <t>Adj. EBITDA YoY</t>
  </si>
  <si>
    <t>Adj. NI YoY</t>
  </si>
  <si>
    <t>Total hash rate (EH/s)</t>
  </si>
  <si>
    <t>Proprietary hash rate</t>
  </si>
  <si>
    <t>Self-mining</t>
  </si>
  <si>
    <t>Cloud hash rate</t>
  </si>
  <si>
    <t>Delivered but not yet hashing</t>
  </si>
  <si>
    <t>Hosting</t>
  </si>
  <si>
    <t xml:space="preserve">Mining rigs </t>
  </si>
  <si>
    <t>Self-owned</t>
  </si>
  <si>
    <t>Hosted</t>
  </si>
  <si>
    <t>Bitcoin mined (self-mining only)</t>
  </si>
  <si>
    <t>Bitcoins held</t>
  </si>
  <si>
    <t>Total power usage (MWh)</t>
  </si>
  <si>
    <t>Average cost of electricity ($/MWh)</t>
  </si>
  <si>
    <t>Average miner efficientcy (J/TH)</t>
  </si>
  <si>
    <t>Dillution QoQ</t>
  </si>
  <si>
    <t>The company's strategy is focused on a vertically integrated, technology-driven growth model. They are on track to meet their target of 40 EH/s of self-mining hashrate by the end of October, and expect to exceed this target by year-end due to improved wafer supply.</t>
  </si>
  <si>
    <t>Bitdeer's R&amp;D team has delivered three of its four planned chips on schedule, including the latest SEALMINER A3, which is preparing for mass production. Looking ahead, they have pivoted R&amp;D to the SEAL04 chip, with two independent designs. The second SEAL04 chip is a "next-generation architecture" aiming for a breakthrough efficiency of approximately 5 J/TH at the chip level. They have begun filing patents for this new technology.</t>
  </si>
  <si>
    <r>
      <t xml:space="preserve">Bitdeer continues its rapid buildout of global power and data center infrastructure. As of July 2025, they had energized 361 MW of data center capacity for self-mining across their Tydal, Norway, and Jigmeling, Bhutan sites, bringing their total available capacity to approximately </t>
    </r>
    <r>
      <rPr>
        <b/>
        <sz val="10"/>
        <color theme="1"/>
        <rFont val="Arial"/>
        <family val="2"/>
      </rPr>
      <t>1.3 GW.</t>
    </r>
    <r>
      <rPr>
        <sz val="10"/>
        <color theme="1"/>
        <rFont val="Arial"/>
        <family val="2"/>
      </rPr>
      <t xml:space="preserve"> They expect to energize an additional 314 MW in Q3, increasing their total power capacity to nearly </t>
    </r>
    <r>
      <rPr>
        <b/>
        <sz val="10"/>
        <color theme="1"/>
        <rFont val="Arial"/>
        <family val="2"/>
      </rPr>
      <t>1.6 GW.</t>
    </r>
  </si>
  <si>
    <r>
      <t xml:space="preserve">A significant development was the signing of a Letter of Agreement with AEP Ohio for the second phase of power at their Clarington site, securing the full 570 MW of capacity before a new, more costly industry-specific billing structure was implemented. </t>
    </r>
    <r>
      <rPr>
        <b/>
        <sz val="10"/>
        <color theme="1"/>
        <rFont val="Arial"/>
        <family val="2"/>
      </rPr>
      <t>In addition, the company has entered into advanced negotiations with a development partner for an HPC/AI initiative at the Clarington, Ohio site.</t>
    </r>
  </si>
  <si>
    <t>The company's planned capital expenditures for power and data center infrastructure in 2025 remain in the range of $260 million to $290 million. This includes projects in Norway, Bhutan, Ohio, Ethiopia, and a gas-fired power plant in Alberta, Canada.</t>
  </si>
  <si>
    <t>Product</t>
  </si>
  <si>
    <t>Release Date</t>
  </si>
  <si>
    <t>Energy Efficiency</t>
  </si>
  <si>
    <t>Wall-Mount Power Consumption</t>
  </si>
  <si>
    <t>Mass Production &amp; Delivery</t>
  </si>
  <si>
    <t>SEAL01</t>
  </si>
  <si>
    <t>Q1 2024</t>
  </si>
  <si>
    <t>18.1 J/TH</t>
  </si>
  <si>
    <t>20–23 J/TH</t>
  </si>
  <si>
    <t>Q3 2024</t>
  </si>
  <si>
    <t>SEAL02</t>
  </si>
  <si>
    <t>13.5 J/TH</t>
  </si>
  <si>
    <t>~14.9 J/TH</t>
  </si>
  <si>
    <t>Q1 2025</t>
  </si>
  <si>
    <t>SEAL03</t>
  </si>
  <si>
    <t>9.7 J/TH</t>
  </si>
  <si>
    <t>11–12 J/TH</t>
  </si>
  <si>
    <t>Q2 2025</t>
  </si>
  <si>
    <t>SEAL04</t>
  </si>
  <si>
    <t>Q2 2025 (Expected)</t>
  </si>
  <si>
    <t>5 J/TH</t>
  </si>
  <si>
    <t>5.5–6 J/TH</t>
  </si>
  <si>
    <t>Q4 2025</t>
  </si>
  <si>
    <t>Bitdeer Technologies Group (NASDAQ: BTDR) is a Singapore-headquartered technology company specializing in blockchain and high-performance computing (HPC).</t>
  </si>
  <si>
    <t>Business overview</t>
  </si>
  <si>
    <t>Founded as a spin-off from Bitmain Technologies in January 2021 by cryptocurrency entrepreneur Jihan Wu (co-founder of Bitmain), the company has grown into one of the world's largest Bitcoin mining operations by computational power.</t>
  </si>
  <si>
    <t>It went public on Nasdaq in April 2023 via a merger with a special-purpose acquisition company (SPAC), debuting at a valuation of $1.18 billion.</t>
  </si>
  <si>
    <t>Bitdeer provides end-to-end computing solutions, handling everything from equipment procurement and logistics to data center design, construction, management, and operations.</t>
  </si>
  <si>
    <r>
      <t xml:space="preserve">Their core focus is on cryptocurrency mining, </t>
    </r>
    <r>
      <rPr>
        <b/>
        <sz val="10"/>
        <color theme="1"/>
        <rFont val="Arial"/>
        <family val="2"/>
      </rPr>
      <t>but they've expanded into AI and HPC to meet growing demands for advanced cloud computing.</t>
    </r>
  </si>
  <si>
    <t>Category</t>
  </si>
  <si>
    <t>Key Offerings</t>
  </si>
  <si>
    <t>Details</t>
  </si>
  <si>
    <t>Cryptocurrency Mining</t>
  </si>
  <si>
    <t>- SEALMINER series (custom ASIC miners, e.g., SEAL01–SEAL04 with improving energy efficiency from 18.1 J/TH to 5 J/TH) - Cloud mining plans - Hash rate sharing and miner rights trading marketplace</t>
  </si>
  <si>
    <t>Supports 10+ cryptocurrencies (e.g., BTC, ETH, LTC, DOGE); includes mining calculators and real-time traceability for payouts.</t>
  </si>
  <si>
    <t>AI &amp; HPC Solutions</t>
  </si>
  <si>
    <t>- AI Cloud powered by NVIDIA DGX H100 GPUs - Turnkey AI data center design - End-to-end AI application ecosystem</t>
  </si>
  <si>
    <t>AI training as low as $2.99/hour; focuses on ML acceleration for high-demand users.</t>
  </si>
  <si>
    <t>Infrastructure &amp; Hosting</t>
  </si>
  <si>
    <t>- Minerbase containers and accessories - Full mining operation management - Global data center hosting</t>
  </si>
  <si>
    <t>All-in-one mining store; customizable plans for short- and long-term mining.</t>
  </si>
  <si>
    <t>https://www.youtube.com/@BitdeerOfficial/videos</t>
  </si>
  <si>
    <t>https://www.datacentermap.com/c/bitdeer/</t>
  </si>
  <si>
    <t>Fixed Asset Ratio</t>
  </si>
  <si>
    <t>Current Ratio</t>
  </si>
  <si>
    <t>Debt-to-Equity</t>
  </si>
  <si>
    <t>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</si>
</sst>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5" fillId="0" borderId="0" xfId="1"/>
    <xf numFmtId="0" fontId="4" fillId="0" borderId="0" xfId="0" applyFont="1"/>
    <xf numFmtId="0" fontId="7" fillId="0" borderId="0" xfId="0" applyFont="1"/>
    <xf numFmtId="3" fontId="3" fillId="0" borderId="0" xfId="0" applyNumberFormat="1" applyFont="1"/>
    <xf numFmtId="3" fontId="4" fillId="0" borderId="0" xfId="0" applyNumberFormat="1" applyFont="1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4" xfId="0" applyFont="1" applyBorder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/>
    <xf numFmtId="0" fontId="4" fillId="0" borderId="6" xfId="0" applyFont="1" applyBorder="1"/>
    <xf numFmtId="3" fontId="4" fillId="0" borderId="7" xfId="0" applyNumberFormat="1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1" xfId="0" applyFont="1" applyBorder="1"/>
    <xf numFmtId="3" fontId="4" fillId="0" borderId="2" xfId="0" applyNumberFormat="1" applyFont="1" applyBorder="1"/>
    <xf numFmtId="0" fontId="3" fillId="0" borderId="6" xfId="0" applyFont="1" applyBorder="1"/>
    <xf numFmtId="3" fontId="3" fillId="0" borderId="7" xfId="0" applyNumberFormat="1" applyFont="1" applyBorder="1"/>
    <xf numFmtId="4" fontId="4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0" fontId="3" fillId="0" borderId="0" xfId="0" applyNumberFormat="1" applyFont="1"/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2" fillId="0" borderId="0" xfId="0" applyFont="1"/>
    <xf numFmtId="4" fontId="2" fillId="0" borderId="0" xfId="0" applyNumberFormat="1" applyFont="1"/>
    <xf numFmtId="4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921224</xdr:colOff>
      <xdr:row>8</xdr:row>
      <xdr:rowOff>68239</xdr:rowOff>
    </xdr:from>
    <xdr:to>
      <xdr:col>5</xdr:col>
      <xdr:colOff>614148</xdr:colOff>
      <xdr:row>27</xdr:row>
      <xdr:rowOff>145800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3DA3F98-7444-CE98-21D0-B9505D43D8B1}"/>
            </a:ext>
          </a:extLst>
        </xdr:cNvPr>
        <xdr:cNvCxnSpPr>
          <a:endCxn id="2" idx="1"/>
        </xdr:cNvCxnSpPr>
      </xdr:nvCxnSpPr>
      <xdr:spPr>
        <a:xfrm>
          <a:off x="1535373" y="1455761"/>
          <a:ext cx="5788924" cy="337577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614148</xdr:colOff>
      <xdr:row>25</xdr:row>
      <xdr:rowOff>67280</xdr:rowOff>
    </xdr:from>
    <xdr:to>
      <xdr:col>11</xdr:col>
      <xdr:colOff>321736</xdr:colOff>
      <xdr:row>30</xdr:row>
      <xdr:rowOff>62409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E686779F-F0A1-EEB4-49A6-75BBB603B18E}"/>
            </a:ext>
          </a:extLst>
        </xdr:cNvPr>
        <xdr:cNvGrpSpPr/>
      </xdr:nvGrpSpPr>
      <xdr:grpSpPr>
        <a:xfrm>
          <a:off x="5468952" y="4387899"/>
          <a:ext cx="3423320" cy="819974"/>
          <a:chOff x="7335398" y="1319913"/>
          <a:chExt cx="4926778" cy="1041651"/>
        </a:xfrm>
      </xdr:grpSpPr>
      <xdr:pic>
        <xdr:nvPicPr>
          <xdr:cNvPr id="2" name="Picture 1" descr="BitDeer Data Centers and Colocation">
            <a:extLst>
              <a:ext uri="{FF2B5EF4-FFF2-40B4-BE49-F238E27FC236}">
                <a16:creationId xmlns:a16="http://schemas.microsoft.com/office/drawing/2014/main" id="{AC12BCFF-B2EF-F0E9-19B0-1537F0D57F5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335398" y="1322657"/>
            <a:ext cx="1825403" cy="10254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" name="Picture 2" descr="At the crossroads of nature and innovation: Bitdeer Gedu Datacenter is  fueling Bhutan’s economic progress with sustainable, carbon-free #mining  solutions 🌱, Together, we're embracing a digital-first ...">
            <a:extLst>
              <a:ext uri="{FF2B5EF4-FFF2-40B4-BE49-F238E27FC236}">
                <a16:creationId xmlns:a16="http://schemas.microsoft.com/office/drawing/2014/main" id="{467E04F0-9389-BE5F-6A7E-D9060EC4A98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176042" y="1319913"/>
            <a:ext cx="1863503" cy="104165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7BCEAD6F-D31A-1677-7A9F-7D65A45B18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1062404" y="1355626"/>
            <a:ext cx="1199772" cy="99133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543854</xdr:colOff>
      <xdr:row>23</xdr:row>
      <xdr:rowOff>152985</xdr:rowOff>
    </xdr:from>
    <xdr:to>
      <xdr:col>4</xdr:col>
      <xdr:colOff>0</xdr:colOff>
      <xdr:row>30</xdr:row>
      <xdr:rowOff>48879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E25F9415-7501-4DB0-F3A3-BD2B581C4922}"/>
            </a:ext>
          </a:extLst>
        </xdr:cNvPr>
        <xdr:cNvGrpSpPr/>
      </xdr:nvGrpSpPr>
      <xdr:grpSpPr>
        <a:xfrm>
          <a:off x="1156596" y="4127954"/>
          <a:ext cx="2983342" cy="1066389"/>
          <a:chOff x="6628482" y="4635782"/>
          <a:chExt cx="4241495" cy="1064038"/>
        </a:xfrm>
      </xdr:grpSpPr>
      <xdr:pic>
        <xdr:nvPicPr>
          <xdr:cNvPr id="10" name="Picture 9" descr="Bitdeer Crypto Mining Facility Fox Creek - Alberta Major Projects">
            <a:extLst>
              <a:ext uri="{FF2B5EF4-FFF2-40B4-BE49-F238E27FC236}">
                <a16:creationId xmlns:a16="http://schemas.microsoft.com/office/drawing/2014/main" id="{8815BFD6-A6C8-DB73-9E59-3FCBF82A8BA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628482" y="4645446"/>
            <a:ext cx="2549846" cy="105422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99A56FB1-9BE8-44A4-8FE6-D7E33F11DB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9208267" y="4635782"/>
            <a:ext cx="1661710" cy="1064038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1022762</xdr:colOff>
      <xdr:row>17</xdr:row>
      <xdr:rowOff>45492</xdr:rowOff>
    </xdr:from>
    <xdr:to>
      <xdr:col>1</xdr:col>
      <xdr:colOff>1440597</xdr:colOff>
      <xdr:row>23</xdr:row>
      <xdr:rowOff>162670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670300B-F22B-4123-B816-50E46D4B45F6}"/>
            </a:ext>
          </a:extLst>
        </xdr:cNvPr>
        <xdr:cNvCxnSpPr>
          <a:endCxn id="10" idx="0"/>
        </xdr:cNvCxnSpPr>
      </xdr:nvCxnSpPr>
      <xdr:spPr>
        <a:xfrm>
          <a:off x="1635504" y="2959946"/>
          <a:ext cx="417835" cy="114627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641688</xdr:colOff>
      <xdr:row>20</xdr:row>
      <xdr:rowOff>90987</xdr:rowOff>
    </xdr:from>
    <xdr:to>
      <xdr:col>10</xdr:col>
      <xdr:colOff>340097</xdr:colOff>
      <xdr:row>25</xdr:row>
      <xdr:rowOff>51414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92302AB2-87C8-3C34-D25D-BF53B2FC139D}"/>
            </a:ext>
          </a:extLst>
        </xdr:cNvPr>
        <xdr:cNvGrpSpPr/>
      </xdr:nvGrpSpPr>
      <xdr:grpSpPr>
        <a:xfrm>
          <a:off x="5496492" y="3547482"/>
          <a:ext cx="2801399" cy="824551"/>
          <a:chOff x="7353758" y="840126"/>
          <a:chExt cx="3663109" cy="1035235"/>
        </a:xfrm>
      </xdr:grpSpPr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394CD94E-972D-D11E-08F5-8CFE4C45F8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7353758" y="840126"/>
            <a:ext cx="1459737" cy="1030402"/>
          </a:xfrm>
          <a:prstGeom prst="rect">
            <a:avLst/>
          </a:prstGeom>
        </xdr:spPr>
      </xdr:pic>
      <xdr:pic>
        <xdr:nvPicPr>
          <xdr:cNvPr id="17" name="Picture 16" descr="BitDeer: Tydal Data Center News">
            <a:extLst>
              <a:ext uri="{FF2B5EF4-FFF2-40B4-BE49-F238E27FC236}">
                <a16:creationId xmlns:a16="http://schemas.microsoft.com/office/drawing/2014/main" id="{7B7F18CF-C828-3A93-155E-7124AEAF0E0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822675" y="856590"/>
            <a:ext cx="2194192" cy="101877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932597</xdr:colOff>
      <xdr:row>7</xdr:row>
      <xdr:rowOff>45493</xdr:rowOff>
    </xdr:from>
    <xdr:to>
      <xdr:col>5</xdr:col>
      <xdr:colOff>641688</xdr:colOff>
      <xdr:row>22</xdr:row>
      <xdr:rowOff>165920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023F586-0D1C-4E60-9B43-CECCB06B07F0}"/>
            </a:ext>
          </a:extLst>
        </xdr:cNvPr>
        <xdr:cNvCxnSpPr>
          <a:endCxn id="15" idx="1"/>
        </xdr:cNvCxnSpPr>
      </xdr:nvCxnSpPr>
      <xdr:spPr>
        <a:xfrm>
          <a:off x="1546746" y="1251045"/>
          <a:ext cx="5805091" cy="27248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</xdr:colOff>
      <xdr:row>15</xdr:row>
      <xdr:rowOff>102359</xdr:rowOff>
    </xdr:from>
    <xdr:to>
      <xdr:col>10</xdr:col>
      <xdr:colOff>463873</xdr:colOff>
      <xdr:row>20</xdr:row>
      <xdr:rowOff>63955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11595194-226A-5F41-41EB-F4B413B4FB28}"/>
            </a:ext>
          </a:extLst>
        </xdr:cNvPr>
        <xdr:cNvGrpSpPr/>
      </xdr:nvGrpSpPr>
      <xdr:grpSpPr>
        <a:xfrm>
          <a:off x="5507236" y="2686874"/>
          <a:ext cx="2914431" cy="833576"/>
          <a:chOff x="7362941" y="1202675"/>
          <a:chExt cx="2887172" cy="815951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056AC36B-D115-BA77-A71D-38A3657C19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7362941" y="1202675"/>
            <a:ext cx="1377108" cy="815951"/>
          </a:xfrm>
          <a:prstGeom prst="rect">
            <a:avLst/>
          </a:prstGeom>
        </xdr:spPr>
      </xdr:pic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8CED820D-13FC-7B74-B8EF-C767BD4875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8749229" y="1211855"/>
            <a:ext cx="1500884" cy="79872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1046329</xdr:colOff>
      <xdr:row>6</xdr:row>
      <xdr:rowOff>90985</xdr:rowOff>
    </xdr:from>
    <xdr:to>
      <xdr:col>6</xdr:col>
      <xdr:colOff>411</xdr:colOff>
      <xdr:row>17</xdr:row>
      <xdr:rowOff>157083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C0C4273-921A-4749-A991-ABE9115AF91B}"/>
            </a:ext>
          </a:extLst>
        </xdr:cNvPr>
        <xdr:cNvCxnSpPr>
          <a:endCxn id="24" idx="1"/>
        </xdr:cNvCxnSpPr>
      </xdr:nvCxnSpPr>
      <xdr:spPr>
        <a:xfrm>
          <a:off x="1660478" y="1125940"/>
          <a:ext cx="5709724" cy="198815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9181</xdr:colOff>
      <xdr:row>5</xdr:row>
      <xdr:rowOff>18361</xdr:rowOff>
    </xdr:from>
    <xdr:to>
      <xdr:col>9</xdr:col>
      <xdr:colOff>73446</xdr:colOff>
      <xdr:row>9</xdr:row>
      <xdr:rowOff>141460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83E7F43F-2F96-A76C-31D2-E6E3985DB567}"/>
            </a:ext>
          </a:extLst>
        </xdr:cNvPr>
        <xdr:cNvGrpSpPr/>
      </xdr:nvGrpSpPr>
      <xdr:grpSpPr>
        <a:xfrm>
          <a:off x="5516006" y="890340"/>
          <a:ext cx="1902492" cy="830110"/>
          <a:chOff x="7344579" y="27542"/>
          <a:chExt cx="1882048" cy="820833"/>
        </a:xfrm>
      </xdr:grpSpPr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18330CAD-A2BA-C8C9-C076-7FFFCFF7A6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7344579" y="29785"/>
            <a:ext cx="1120048" cy="792458"/>
          </a:xfrm>
          <a:prstGeom prst="rect">
            <a:avLst/>
          </a:prstGeom>
        </xdr:spPr>
      </xdr:pic>
      <xdr:pic>
        <xdr:nvPicPr>
          <xdr:cNvPr id="34" name="Picture 33" descr="About us - Bitdeer (NASDAQ: BTDR)">
            <a:extLst>
              <a:ext uri="{FF2B5EF4-FFF2-40B4-BE49-F238E27FC236}">
                <a16:creationId xmlns:a16="http://schemas.microsoft.com/office/drawing/2014/main" id="{385DB5D3-975B-9D6E-7873-0EDCA3D45E5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492171" y="27542"/>
            <a:ext cx="734456" cy="82083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826265</xdr:colOff>
      <xdr:row>4</xdr:row>
      <xdr:rowOff>82626</xdr:rowOff>
    </xdr:from>
    <xdr:to>
      <xdr:col>6</xdr:col>
      <xdr:colOff>9181</xdr:colOff>
      <xdr:row>7</xdr:row>
      <xdr:rowOff>86327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702F86C-F7CA-49E3-95E6-94B959B7D47C}"/>
            </a:ext>
          </a:extLst>
        </xdr:cNvPr>
        <xdr:cNvCxnSpPr>
          <a:endCxn id="33" idx="1"/>
        </xdr:cNvCxnSpPr>
      </xdr:nvCxnSpPr>
      <xdr:spPr>
        <a:xfrm>
          <a:off x="1432193" y="761999"/>
          <a:ext cx="5912386" cy="49946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27542</xdr:colOff>
      <xdr:row>0</xdr:row>
      <xdr:rowOff>0</xdr:rowOff>
    </xdr:from>
    <xdr:to>
      <xdr:col>10</xdr:col>
      <xdr:colOff>9181</xdr:colOff>
      <xdr:row>5</xdr:row>
      <xdr:rowOff>3022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F57549E6-6217-3D6B-6D81-F2510B620C89}"/>
            </a:ext>
          </a:extLst>
        </xdr:cNvPr>
        <xdr:cNvGrpSpPr/>
      </xdr:nvGrpSpPr>
      <xdr:grpSpPr>
        <a:xfrm>
          <a:off x="5534367" y="0"/>
          <a:ext cx="2432608" cy="875001"/>
          <a:chOff x="7362940" y="0"/>
          <a:chExt cx="2405349" cy="847649"/>
        </a:xfrm>
      </xdr:grpSpPr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64BD7BB5-BD9D-71B9-EFFB-28DB8D46E4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7362940" y="0"/>
            <a:ext cx="1101687" cy="831273"/>
          </a:xfrm>
          <a:prstGeom prst="rect">
            <a:avLst/>
          </a:prstGeom>
        </xdr:spPr>
      </xdr:pic>
      <xdr:pic>
        <xdr:nvPicPr>
          <xdr:cNvPr id="43" name="Picture 42" descr="Cryptocurrency Mining in Texas - Earthjustice">
            <a:extLst>
              <a:ext uri="{FF2B5EF4-FFF2-40B4-BE49-F238E27FC236}">
                <a16:creationId xmlns:a16="http://schemas.microsoft.com/office/drawing/2014/main" id="{EA4DF0F9-00C1-6076-428C-252943ECB3F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492168" y="0"/>
            <a:ext cx="1276121" cy="8476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936433</xdr:colOff>
      <xdr:row>2</xdr:row>
      <xdr:rowOff>66770</xdr:rowOff>
    </xdr:from>
    <xdr:to>
      <xdr:col>6</xdr:col>
      <xdr:colOff>27542</xdr:colOff>
      <xdr:row>3</xdr:row>
      <xdr:rowOff>73446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77F93CB1-4F6E-497B-BF11-E5EA849312DB}"/>
            </a:ext>
          </a:extLst>
        </xdr:cNvPr>
        <xdr:cNvCxnSpPr>
          <a:endCxn id="41" idx="1"/>
        </xdr:cNvCxnSpPr>
      </xdr:nvCxnSpPr>
      <xdr:spPr>
        <a:xfrm flipV="1">
          <a:off x="1542361" y="415637"/>
          <a:ext cx="5820579" cy="17192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1046329</xdr:colOff>
      <xdr:row>5</xdr:row>
      <xdr:rowOff>125105</xdr:rowOff>
    </xdr:from>
    <xdr:to>
      <xdr:col>6</xdr:col>
      <xdr:colOff>12469</xdr:colOff>
      <xdr:row>12</xdr:row>
      <xdr:rowOff>116453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3AC5CD8F-FF0F-46CD-BF66-D658FB9DE0BE}"/>
            </a:ext>
          </a:extLst>
        </xdr:cNvPr>
        <xdr:cNvCxnSpPr>
          <a:endCxn id="49" idx="1"/>
        </xdr:cNvCxnSpPr>
      </xdr:nvCxnSpPr>
      <xdr:spPr>
        <a:xfrm>
          <a:off x="1660478" y="978090"/>
          <a:ext cx="5721782" cy="121964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12469</xdr:colOff>
      <xdr:row>9</xdr:row>
      <xdr:rowOff>162238</xdr:rowOff>
    </xdr:from>
    <xdr:to>
      <xdr:col>12</xdr:col>
      <xdr:colOff>477671</xdr:colOff>
      <xdr:row>15</xdr:row>
      <xdr:rowOff>70667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4BB4DB19-36B0-FBA7-1B10-5B99820F0C8D}"/>
            </a:ext>
          </a:extLst>
        </xdr:cNvPr>
        <xdr:cNvGrpSpPr/>
      </xdr:nvGrpSpPr>
      <xdr:grpSpPr>
        <a:xfrm>
          <a:off x="5519294" y="1741228"/>
          <a:ext cx="4141655" cy="913954"/>
          <a:chOff x="7382260" y="1731731"/>
          <a:chExt cx="4150098" cy="932011"/>
        </a:xfrm>
      </xdr:grpSpPr>
      <xdr:pic>
        <xdr:nvPicPr>
          <xdr:cNvPr id="49" name="Picture 48">
            <a:extLst>
              <a:ext uri="{FF2B5EF4-FFF2-40B4-BE49-F238E27FC236}">
                <a16:creationId xmlns:a16="http://schemas.microsoft.com/office/drawing/2014/main" id="{E136B821-A346-F56D-ED15-445488B143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7382260" y="1731731"/>
            <a:ext cx="2539223" cy="932011"/>
          </a:xfrm>
          <a:prstGeom prst="rect">
            <a:avLst/>
          </a:prstGeom>
        </xdr:spPr>
      </xdr:pic>
      <xdr:pic>
        <xdr:nvPicPr>
          <xdr:cNvPr id="60" name="Picture 59">
            <a:extLst>
              <a:ext uri="{FF2B5EF4-FFF2-40B4-BE49-F238E27FC236}">
                <a16:creationId xmlns:a16="http://schemas.microsoft.com/office/drawing/2014/main" id="{7C4D04AC-E893-76B2-38B6-9DB1273C67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51493" y="1762837"/>
            <a:ext cx="1580865" cy="885284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602776</xdr:colOff>
      <xdr:row>30</xdr:row>
      <xdr:rowOff>90986</xdr:rowOff>
    </xdr:from>
    <xdr:to>
      <xdr:col>10</xdr:col>
      <xdr:colOff>568656</xdr:colOff>
      <xdr:row>35</xdr:row>
      <xdr:rowOff>92786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3704E406-8826-EBAB-AE1A-DCB5F7005A62}"/>
            </a:ext>
          </a:extLst>
        </xdr:cNvPr>
        <xdr:cNvGrpSpPr/>
      </xdr:nvGrpSpPr>
      <xdr:grpSpPr>
        <a:xfrm>
          <a:off x="5457580" y="5236450"/>
          <a:ext cx="3068870" cy="842357"/>
          <a:chOff x="7312925" y="5288508"/>
          <a:chExt cx="3082119" cy="866159"/>
        </a:xfrm>
      </xdr:grpSpPr>
      <xdr:pic>
        <xdr:nvPicPr>
          <xdr:cNvPr id="62" name="Picture 61" descr="Bitdeer launches its second-largest Bitcoin mining data centre in Jigmeling,  Sarpang - BBSCL">
            <a:extLst>
              <a:ext uri="{FF2B5EF4-FFF2-40B4-BE49-F238E27FC236}">
                <a16:creationId xmlns:a16="http://schemas.microsoft.com/office/drawing/2014/main" id="{B6CC6736-5D95-3CA4-2EB8-92FCCB592D7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312925" y="5288509"/>
            <a:ext cx="1535213" cy="86435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3" name="Picture 62" descr="Bitdeer Jigmeling's 500MW mining centre to go full-scale in 2026">
            <a:extLst>
              <a:ext uri="{FF2B5EF4-FFF2-40B4-BE49-F238E27FC236}">
                <a16:creationId xmlns:a16="http://schemas.microsoft.com/office/drawing/2014/main" id="{B15A1F6F-32AD-90E7-F27D-80DAD3731BB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871044" y="5288508"/>
            <a:ext cx="1524000" cy="86615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1051560</xdr:colOff>
      <xdr:row>9</xdr:row>
      <xdr:rowOff>91440</xdr:rowOff>
    </xdr:from>
    <xdr:to>
      <xdr:col>5</xdr:col>
      <xdr:colOff>602776</xdr:colOff>
      <xdr:row>33</xdr:row>
      <xdr:rowOff>14798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697574E9-2391-46A4-83D1-DD95EBD6B0B7}"/>
            </a:ext>
          </a:extLst>
        </xdr:cNvPr>
        <xdr:cNvCxnSpPr>
          <a:endCxn id="62" idx="1"/>
        </xdr:cNvCxnSpPr>
      </xdr:nvCxnSpPr>
      <xdr:spPr>
        <a:xfrm>
          <a:off x="1661160" y="1661160"/>
          <a:ext cx="3795556" cy="404577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Data%20Centers.xlsx" TargetMode="External"/><Relationship Id="rId1" Type="http://schemas.openxmlformats.org/officeDocument/2006/relationships/externalLinkPath" Target="Data%20Cent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7">
          <cell r="D7">
            <v>19.86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datacentermap.com/c/bitdeer/" TargetMode="External"/><Relationship Id="rId1" Type="http://schemas.openxmlformats.org/officeDocument/2006/relationships/hyperlink" Target="https://www.youtube.com/@BitdeerOfficial/vide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7"/>
  <sheetViews>
    <sheetView tabSelected="1" workbookViewId="0">
      <selection activeCell="I8" sqref="I8"/>
    </sheetView>
  </sheetViews>
  <sheetFormatPr defaultRowHeight="13.2" x14ac:dyDescent="0.25"/>
  <cols>
    <col min="1" max="16384" width="8.88671875" style="1"/>
  </cols>
  <sheetData>
    <row r="1" spans="2:12" x14ac:dyDescent="0.25">
      <c r="B1" s="4" t="s">
        <v>176</v>
      </c>
    </row>
    <row r="2" spans="2:12" x14ac:dyDescent="0.25">
      <c r="B2" s="1" t="s">
        <v>175</v>
      </c>
    </row>
    <row r="3" spans="2:12" x14ac:dyDescent="0.25">
      <c r="B3" s="1" t="s">
        <v>177</v>
      </c>
    </row>
    <row r="4" spans="2:12" x14ac:dyDescent="0.25">
      <c r="B4" s="1" t="s">
        <v>178</v>
      </c>
    </row>
    <row r="6" spans="2:12" x14ac:dyDescent="0.25">
      <c r="L6" s="1" t="s">
        <v>7</v>
      </c>
    </row>
    <row r="7" spans="2:12" x14ac:dyDescent="0.25">
      <c r="H7" s="1" t="s">
        <v>0</v>
      </c>
      <c r="I7" s="40">
        <f>+[1]Main!$D$7</f>
        <v>19.86</v>
      </c>
      <c r="L7" s="1" t="s">
        <v>147</v>
      </c>
    </row>
    <row r="8" spans="2:12" x14ac:dyDescent="0.25">
      <c r="H8" s="1" t="s">
        <v>1</v>
      </c>
      <c r="I8" s="24">
        <f>+Model!J17</f>
        <v>193.97</v>
      </c>
      <c r="L8" s="1" t="s">
        <v>148</v>
      </c>
    </row>
    <row r="9" spans="2:12" x14ac:dyDescent="0.25">
      <c r="H9" s="1" t="s">
        <v>2</v>
      </c>
      <c r="I9" s="24">
        <f>I7*I8</f>
        <v>3852.2442000000001</v>
      </c>
    </row>
    <row r="10" spans="2:12" x14ac:dyDescent="0.25">
      <c r="H10" s="1" t="s">
        <v>3</v>
      </c>
      <c r="I10" s="24">
        <f>+Model!J30+Model!J31+Model!J32</f>
        <v>482.09699999999998</v>
      </c>
      <c r="L10" s="1" t="s">
        <v>149</v>
      </c>
    </row>
    <row r="11" spans="2:12" x14ac:dyDescent="0.25">
      <c r="H11" s="1" t="s">
        <v>4</v>
      </c>
      <c r="I11" s="24">
        <f>+Model!J55+Model!J59</f>
        <v>533.07600000000002</v>
      </c>
      <c r="L11" s="1" t="s">
        <v>150</v>
      </c>
    </row>
    <row r="12" spans="2:12" x14ac:dyDescent="0.25">
      <c r="I12" s="24"/>
    </row>
    <row r="13" spans="2:12" x14ac:dyDescent="0.25">
      <c r="H13" s="1" t="s">
        <v>5</v>
      </c>
      <c r="I13" s="24">
        <f>+I9-I10+I11</f>
        <v>3903.2232000000004</v>
      </c>
      <c r="L13" s="1" t="s">
        <v>151</v>
      </c>
    </row>
    <row r="16" spans="2:12" x14ac:dyDescent="0.25">
      <c r="B16" s="1" t="s">
        <v>179</v>
      </c>
    </row>
    <row r="17" spans="2:2" x14ac:dyDescent="0.25">
      <c r="B17" s="1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349A-ED11-412B-B08C-AF5AFDA26EC2}">
  <dimension ref="A1:V125"/>
  <sheetViews>
    <sheetView workbookViewId="0">
      <pane xSplit="2" ySplit="2" topLeftCell="C52" activePane="bottomRight" state="frozen"/>
      <selection pane="topRight" activeCell="C1" sqref="C1"/>
      <selection pane="bottomLeft" activeCell="A3" sqref="A3"/>
      <selection pane="bottomRight" activeCell="N66" sqref="N66"/>
    </sheetView>
  </sheetViews>
  <sheetFormatPr defaultRowHeight="13.2" x14ac:dyDescent="0.25"/>
  <cols>
    <col min="1" max="2" width="8.88671875" style="1"/>
    <col min="3" max="6" width="9.109375" style="1" bestFit="1" customWidth="1"/>
    <col min="7" max="8" width="8.88671875" style="1"/>
    <col min="9" max="9" width="9.88671875" style="1" bestFit="1" customWidth="1"/>
    <col min="10" max="10" width="9.109375" style="1" bestFit="1" customWidth="1"/>
    <col min="11" max="16384" width="8.88671875" style="1"/>
  </cols>
  <sheetData>
    <row r="1" spans="1:22" ht="14.4" x14ac:dyDescent="0.3">
      <c r="A1" s="2" t="s">
        <v>6</v>
      </c>
    </row>
    <row r="2" spans="1:22" x14ac:dyDescent="0.25"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7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T2" s="1">
        <v>2023</v>
      </c>
      <c r="U2" s="1">
        <v>2024</v>
      </c>
      <c r="V2" s="1">
        <v>2025</v>
      </c>
    </row>
    <row r="3" spans="1:22" s="24" customFormat="1" x14ac:dyDescent="0.25">
      <c r="B3" s="24" t="s">
        <v>46</v>
      </c>
      <c r="C3" s="24">
        <v>87.302999999999997</v>
      </c>
      <c r="D3" s="24">
        <v>114.848</v>
      </c>
      <c r="E3" s="24">
        <v>119.506</v>
      </c>
      <c r="F3" s="24">
        <v>99.228999999999999</v>
      </c>
      <c r="G3" s="24">
        <v>62.029000000000003</v>
      </c>
      <c r="H3" s="24">
        <v>69.018000000000001</v>
      </c>
      <c r="I3" s="24">
        <v>70.128</v>
      </c>
      <c r="J3" s="24">
        <v>155.58199999999999</v>
      </c>
      <c r="T3" s="24">
        <v>368.55399999999997</v>
      </c>
      <c r="U3" s="24">
        <v>349.78199999999998</v>
      </c>
      <c r="V3" s="24">
        <f>+I3+J3+K3+L3</f>
        <v>225.70999999999998</v>
      </c>
    </row>
    <row r="4" spans="1:22" s="24" customFormat="1" x14ac:dyDescent="0.25">
      <c r="B4" s="24" t="s">
        <v>47</v>
      </c>
      <c r="C4" s="24">
        <v>66.186999999999998</v>
      </c>
      <c r="D4" s="24">
        <v>87.804000000000002</v>
      </c>
      <c r="E4" s="24">
        <v>85.375</v>
      </c>
      <c r="F4" s="24">
        <v>74.823999999999998</v>
      </c>
      <c r="G4" s="24">
        <v>59.264000000000003</v>
      </c>
      <c r="H4" s="24">
        <v>63.918999999999997</v>
      </c>
      <c r="I4" s="24">
        <v>73.352999999999994</v>
      </c>
      <c r="J4" s="24">
        <v>142.762</v>
      </c>
      <c r="T4" s="24">
        <v>290.745</v>
      </c>
      <c r="U4" s="24">
        <v>283.38200000000001</v>
      </c>
      <c r="V4" s="24">
        <f>+I4+J4+K4+L4</f>
        <v>216.11500000000001</v>
      </c>
    </row>
    <row r="5" spans="1:22" s="25" customFormat="1" x14ac:dyDescent="0.25">
      <c r="B5" s="25" t="s">
        <v>48</v>
      </c>
      <c r="C5" s="25">
        <f t="shared" ref="C5:I5" si="0">C3-C4</f>
        <v>21.116</v>
      </c>
      <c r="D5" s="25">
        <f t="shared" si="0"/>
        <v>27.043999999999997</v>
      </c>
      <c r="E5" s="25">
        <f t="shared" si="0"/>
        <v>34.131</v>
      </c>
      <c r="F5" s="25">
        <f t="shared" si="0"/>
        <v>24.405000000000001</v>
      </c>
      <c r="G5" s="25">
        <f t="shared" si="0"/>
        <v>2.7650000000000006</v>
      </c>
      <c r="H5" s="25">
        <f t="shared" si="0"/>
        <v>5.0990000000000038</v>
      </c>
      <c r="I5" s="25">
        <f t="shared" si="0"/>
        <v>-3.2249999999999943</v>
      </c>
      <c r="J5" s="25">
        <f>J3-J4</f>
        <v>12.819999999999993</v>
      </c>
      <c r="K5" s="25">
        <f t="shared" ref="K5:N5" si="1">K3-K4</f>
        <v>0</v>
      </c>
      <c r="L5" s="25">
        <f t="shared" si="1"/>
        <v>0</v>
      </c>
      <c r="M5" s="25">
        <f t="shared" si="1"/>
        <v>0</v>
      </c>
      <c r="N5" s="25">
        <f t="shared" si="1"/>
        <v>0</v>
      </c>
      <c r="T5" s="25">
        <f t="shared" ref="T5" si="2">T3-T4</f>
        <v>77.808999999999969</v>
      </c>
      <c r="U5" s="25">
        <f t="shared" ref="U5" si="3">U3-U4</f>
        <v>66.399999999999977</v>
      </c>
      <c r="V5" s="25">
        <f t="shared" ref="V5" si="4">V3-V4</f>
        <v>9.5949999999999704</v>
      </c>
    </row>
    <row r="6" spans="1:22" s="24" customFormat="1" x14ac:dyDescent="0.25">
      <c r="B6" s="24" t="s">
        <v>49</v>
      </c>
      <c r="C6" s="24">
        <v>1.9259999999999999</v>
      </c>
      <c r="D6" s="24">
        <v>2</v>
      </c>
      <c r="E6" s="24">
        <v>1.69</v>
      </c>
      <c r="F6" s="24">
        <v>2.173</v>
      </c>
      <c r="G6" s="24">
        <v>2.2290000000000001</v>
      </c>
      <c r="H6" s="24">
        <v>1.952</v>
      </c>
      <c r="I6" s="24">
        <v>1.393</v>
      </c>
      <c r="J6" s="24">
        <v>1.6259999999999999</v>
      </c>
      <c r="T6" s="24">
        <v>8.2460000000000004</v>
      </c>
      <c r="U6" s="24">
        <v>8.0440000000000005</v>
      </c>
      <c r="V6" s="24">
        <f t="shared" ref="V6:V10" si="5">+I6+J6+K6+L6</f>
        <v>3.0190000000000001</v>
      </c>
    </row>
    <row r="7" spans="1:22" s="24" customFormat="1" x14ac:dyDescent="0.25">
      <c r="B7" s="24" t="s">
        <v>50</v>
      </c>
      <c r="C7" s="24">
        <v>16.849</v>
      </c>
      <c r="D7" s="24">
        <v>17.134</v>
      </c>
      <c r="E7" s="24">
        <v>14.968999999999999</v>
      </c>
      <c r="F7" s="24">
        <v>15.852</v>
      </c>
      <c r="G7" s="24">
        <v>15.827999999999999</v>
      </c>
      <c r="H7" s="24">
        <v>17.667999999999999</v>
      </c>
      <c r="I7" s="24">
        <v>15.388999999999999</v>
      </c>
      <c r="J7" s="24">
        <v>20.138000000000002</v>
      </c>
      <c r="T7" s="24">
        <v>66.453999999999994</v>
      </c>
      <c r="U7" s="24">
        <v>64.316999999999993</v>
      </c>
      <c r="V7" s="24">
        <f t="shared" si="5"/>
        <v>35.527000000000001</v>
      </c>
    </row>
    <row r="8" spans="1:22" s="24" customFormat="1" x14ac:dyDescent="0.25">
      <c r="B8" s="24" t="s">
        <v>51</v>
      </c>
      <c r="C8" s="24">
        <v>8.5</v>
      </c>
      <c r="D8" s="24">
        <v>8.3000000000000007</v>
      </c>
      <c r="E8" s="24">
        <v>21.164000000000001</v>
      </c>
      <c r="F8" s="24">
        <v>8.048</v>
      </c>
      <c r="G8" s="24">
        <v>24.835999999999999</v>
      </c>
      <c r="H8" s="24">
        <v>22.898</v>
      </c>
      <c r="I8" s="24">
        <v>59.014000000000003</v>
      </c>
      <c r="J8" s="24">
        <v>20.577000000000002</v>
      </c>
      <c r="T8" s="24">
        <v>29.533999999999999</v>
      </c>
      <c r="U8" s="24">
        <v>76.945999999999998</v>
      </c>
      <c r="V8" s="24">
        <f t="shared" si="5"/>
        <v>79.591000000000008</v>
      </c>
    </row>
    <row r="9" spans="1:22" s="24" customFormat="1" x14ac:dyDescent="0.25">
      <c r="B9" s="24" t="s">
        <v>52</v>
      </c>
      <c r="C9" s="24">
        <v>-0.81799999999999995</v>
      </c>
      <c r="D9" s="24">
        <v>-3.073</v>
      </c>
      <c r="E9" s="24">
        <v>-1.746</v>
      </c>
      <c r="F9" s="24">
        <v>-1.431</v>
      </c>
      <c r="G9" s="24">
        <v>-1.22</v>
      </c>
      <c r="H9" s="24">
        <v>3.67</v>
      </c>
      <c r="I9" s="24">
        <v>7.7889999999999997</v>
      </c>
      <c r="J9" s="24">
        <v>-3.7349999999999999</v>
      </c>
      <c r="T9" s="24">
        <f>33.151-3.791</f>
        <v>29.360000000000003</v>
      </c>
      <c r="U9" s="24">
        <v>-0.72699999999999998</v>
      </c>
      <c r="V9" s="24">
        <f t="shared" si="5"/>
        <v>4.0540000000000003</v>
      </c>
    </row>
    <row r="10" spans="1:22" s="24" customFormat="1" x14ac:dyDescent="0.25">
      <c r="B10" s="24" t="s">
        <v>53</v>
      </c>
      <c r="C10" s="24">
        <v>-0.86199999999999999</v>
      </c>
      <c r="D10" s="24">
        <v>-1.0680000000000001</v>
      </c>
      <c r="E10" s="24">
        <v>-2.4470000000000001</v>
      </c>
      <c r="F10" s="24">
        <v>15.467000000000001</v>
      </c>
      <c r="G10" s="24">
        <v>14.680999999999999</v>
      </c>
      <c r="H10" s="24">
        <v>479.77800000000002</v>
      </c>
      <c r="I10" s="24">
        <v>-503.05</v>
      </c>
      <c r="J10" s="24">
        <v>108.45099999999999</v>
      </c>
      <c r="T10" s="24">
        <v>-3.5379999999999998</v>
      </c>
      <c r="U10" s="24">
        <v>507.47899999999998</v>
      </c>
      <c r="V10" s="24">
        <f t="shared" si="5"/>
        <v>-394.59900000000005</v>
      </c>
    </row>
    <row r="11" spans="1:22" s="25" customFormat="1" x14ac:dyDescent="0.25">
      <c r="B11" s="25" t="s">
        <v>54</v>
      </c>
      <c r="C11" s="25">
        <f t="shared" ref="C11:I11" si="6">SUM(C6:C10)</f>
        <v>25.594999999999999</v>
      </c>
      <c r="D11" s="25">
        <f t="shared" si="6"/>
        <v>23.292999999999999</v>
      </c>
      <c r="E11" s="25">
        <f t="shared" si="6"/>
        <v>33.629999999999995</v>
      </c>
      <c r="F11" s="25">
        <f t="shared" si="6"/>
        <v>40.109000000000002</v>
      </c>
      <c r="G11" s="25">
        <f t="shared" si="6"/>
        <v>56.353999999999999</v>
      </c>
      <c r="H11" s="25">
        <f t="shared" si="6"/>
        <v>525.96600000000001</v>
      </c>
      <c r="I11" s="25">
        <f t="shared" si="6"/>
        <v>-419.46500000000003</v>
      </c>
      <c r="J11" s="25">
        <f>SUM(J6:J10)</f>
        <v>147.05700000000002</v>
      </c>
      <c r="K11" s="25">
        <f t="shared" ref="K11:N11" si="7">SUM(K6:K10)</f>
        <v>0</v>
      </c>
      <c r="L11" s="25">
        <f t="shared" si="7"/>
        <v>0</v>
      </c>
      <c r="M11" s="25">
        <f t="shared" si="7"/>
        <v>0</v>
      </c>
      <c r="N11" s="25">
        <f t="shared" si="7"/>
        <v>0</v>
      </c>
      <c r="T11" s="25">
        <f t="shared" ref="T11" si="8">SUM(T6:T10)</f>
        <v>130.05599999999998</v>
      </c>
      <c r="U11" s="25">
        <f t="shared" ref="U11" si="9">SUM(U6:U10)</f>
        <v>656.05899999999997</v>
      </c>
      <c r="V11" s="25">
        <f t="shared" ref="V11" si="10">SUM(V6:V10)</f>
        <v>-272.40800000000002</v>
      </c>
    </row>
    <row r="12" spans="1:22" s="25" customFormat="1" x14ac:dyDescent="0.25">
      <c r="B12" s="25" t="s">
        <v>55</v>
      </c>
      <c r="C12" s="25">
        <f t="shared" ref="C12:I12" si="11">C5-C11</f>
        <v>-4.4789999999999992</v>
      </c>
      <c r="D12" s="25">
        <f t="shared" si="11"/>
        <v>3.7509999999999977</v>
      </c>
      <c r="E12" s="25">
        <f t="shared" si="11"/>
        <v>0.50100000000000477</v>
      </c>
      <c r="F12" s="25">
        <f t="shared" si="11"/>
        <v>-15.704000000000001</v>
      </c>
      <c r="G12" s="25">
        <f t="shared" si="11"/>
        <v>-53.588999999999999</v>
      </c>
      <c r="H12" s="25">
        <f t="shared" si="11"/>
        <v>-520.86699999999996</v>
      </c>
      <c r="I12" s="25">
        <f t="shared" si="11"/>
        <v>416.24</v>
      </c>
      <c r="J12" s="25">
        <f>J5-J11</f>
        <v>-134.23700000000002</v>
      </c>
      <c r="K12" s="25">
        <f t="shared" ref="K12:N12" si="12">K5-K11</f>
        <v>0</v>
      </c>
      <c r="L12" s="25">
        <f t="shared" si="12"/>
        <v>0</v>
      </c>
      <c r="M12" s="25">
        <f t="shared" si="12"/>
        <v>0</v>
      </c>
      <c r="N12" s="25">
        <f t="shared" si="12"/>
        <v>0</v>
      </c>
      <c r="T12" s="25">
        <f t="shared" ref="T12" si="13">T5-T11</f>
        <v>-52.247000000000014</v>
      </c>
      <c r="U12" s="25">
        <f t="shared" ref="U12" si="14">U5-U11</f>
        <v>-589.65899999999999</v>
      </c>
      <c r="V12" s="25">
        <f t="shared" ref="V12" si="15">V5-V11</f>
        <v>282.00299999999999</v>
      </c>
    </row>
    <row r="13" spans="1:22" s="24" customFormat="1" x14ac:dyDescent="0.25">
      <c r="B13" s="24" t="s">
        <v>56</v>
      </c>
      <c r="C13" s="24">
        <v>1.224</v>
      </c>
      <c r="D13" s="24">
        <v>1.179</v>
      </c>
      <c r="E13" s="24">
        <v>0.151</v>
      </c>
      <c r="F13" s="24">
        <v>-4.3999999999999997E-2</v>
      </c>
      <c r="G13" s="24">
        <v>-0.23100000000000001</v>
      </c>
      <c r="H13" s="24">
        <v>-11.811</v>
      </c>
      <c r="I13" s="24">
        <v>-9.343</v>
      </c>
      <c r="J13" s="24">
        <v>-13.693</v>
      </c>
      <c r="T13" s="24">
        <v>1.276</v>
      </c>
      <c r="U13" s="24">
        <v>-11.935</v>
      </c>
      <c r="V13" s="24">
        <f>+I13+J13+K13+L13</f>
        <v>-23.036000000000001</v>
      </c>
    </row>
    <row r="14" spans="1:22" s="25" customFormat="1" x14ac:dyDescent="0.25">
      <c r="B14" s="25" t="s">
        <v>57</v>
      </c>
      <c r="C14" s="25">
        <f t="shared" ref="C14:I14" si="16">+C12+C13</f>
        <v>-3.254999999999999</v>
      </c>
      <c r="D14" s="25">
        <f t="shared" si="16"/>
        <v>4.9299999999999979</v>
      </c>
      <c r="E14" s="25">
        <f t="shared" si="16"/>
        <v>0.6520000000000048</v>
      </c>
      <c r="F14" s="25">
        <f t="shared" si="16"/>
        <v>-15.748000000000001</v>
      </c>
      <c r="G14" s="25">
        <f t="shared" si="16"/>
        <v>-53.82</v>
      </c>
      <c r="H14" s="25">
        <f t="shared" si="16"/>
        <v>-532.678</v>
      </c>
      <c r="I14" s="25">
        <f t="shared" si="16"/>
        <v>406.89699999999999</v>
      </c>
      <c r="J14" s="25">
        <f>+J12+J13</f>
        <v>-147.93000000000004</v>
      </c>
      <c r="K14" s="25">
        <f t="shared" ref="K14:N14" si="17">+K12+K13</f>
        <v>0</v>
      </c>
      <c r="L14" s="25">
        <f t="shared" si="17"/>
        <v>0</v>
      </c>
      <c r="M14" s="25">
        <f t="shared" si="17"/>
        <v>0</v>
      </c>
      <c r="N14" s="25">
        <f t="shared" si="17"/>
        <v>0</v>
      </c>
      <c r="T14" s="25">
        <f t="shared" ref="T14" si="18">+T12+T13</f>
        <v>-50.971000000000011</v>
      </c>
      <c r="U14" s="25">
        <f t="shared" ref="U14" si="19">+U12+U13</f>
        <v>-601.59399999999994</v>
      </c>
      <c r="V14" s="25">
        <f t="shared" ref="V14" si="20">+V12+V13</f>
        <v>258.96699999999998</v>
      </c>
    </row>
    <row r="15" spans="1:22" s="24" customFormat="1" x14ac:dyDescent="0.25">
      <c r="B15" s="24" t="s">
        <v>58</v>
      </c>
      <c r="C15" s="24">
        <v>1.458</v>
      </c>
      <c r="D15" s="24">
        <v>-9.9499999999999993</v>
      </c>
      <c r="E15" s="24">
        <v>-4.5999999999999999E-2</v>
      </c>
      <c r="F15" s="24">
        <v>-1.9950000000000001</v>
      </c>
      <c r="G15" s="24">
        <v>3.7229999999999999</v>
      </c>
      <c r="H15" s="24">
        <v>0.76100000000000001</v>
      </c>
      <c r="I15" s="24">
        <v>2.5760000000000001</v>
      </c>
      <c r="J15" s="24">
        <v>0.19700000000000001</v>
      </c>
      <c r="T15" s="24">
        <v>-5.6849999999999996</v>
      </c>
      <c r="U15" s="24">
        <v>2.4430000000000001</v>
      </c>
      <c r="V15" s="24">
        <f>+I15+J15+K15+L15</f>
        <v>2.7730000000000001</v>
      </c>
    </row>
    <row r="16" spans="1:22" s="25" customFormat="1" x14ac:dyDescent="0.25">
      <c r="B16" s="25" t="s">
        <v>59</v>
      </c>
      <c r="C16" s="25">
        <f t="shared" ref="C16:I16" si="21">+C14+C15</f>
        <v>-1.796999999999999</v>
      </c>
      <c r="D16" s="25">
        <f t="shared" si="21"/>
        <v>-5.0200000000000014</v>
      </c>
      <c r="E16" s="25">
        <f t="shared" si="21"/>
        <v>0.60600000000000476</v>
      </c>
      <c r="F16" s="25">
        <f t="shared" si="21"/>
        <v>-17.743000000000002</v>
      </c>
      <c r="G16" s="25">
        <f t="shared" si="21"/>
        <v>-50.097000000000001</v>
      </c>
      <c r="H16" s="25">
        <f t="shared" si="21"/>
        <v>-531.91700000000003</v>
      </c>
      <c r="I16" s="25">
        <f t="shared" si="21"/>
        <v>409.47300000000001</v>
      </c>
      <c r="J16" s="25">
        <f>+J14+J15</f>
        <v>-147.73300000000003</v>
      </c>
      <c r="K16" s="25">
        <f t="shared" ref="K16:N16" si="22">+K14+K15</f>
        <v>0</v>
      </c>
      <c r="L16" s="25">
        <f t="shared" si="22"/>
        <v>0</v>
      </c>
      <c r="M16" s="25">
        <f t="shared" si="22"/>
        <v>0</v>
      </c>
      <c r="N16" s="25">
        <f t="shared" si="22"/>
        <v>0</v>
      </c>
      <c r="T16" s="25">
        <f t="shared" ref="T16" si="23">+T14+T15</f>
        <v>-56.656000000000013</v>
      </c>
      <c r="U16" s="25">
        <f t="shared" ref="U16" si="24">+U14+U15</f>
        <v>-599.15099999999995</v>
      </c>
      <c r="V16" s="25">
        <f t="shared" ref="V16" si="25">+V14+V15</f>
        <v>261.74</v>
      </c>
    </row>
    <row r="17" spans="2:22" s="24" customFormat="1" x14ac:dyDescent="0.25">
      <c r="B17" s="24" t="s">
        <v>1</v>
      </c>
      <c r="C17" s="24">
        <v>111.28400000000001</v>
      </c>
      <c r="D17" s="24">
        <v>111.05500000000001</v>
      </c>
      <c r="E17" s="24">
        <v>114.843</v>
      </c>
      <c r="F17" s="24">
        <v>126.53</v>
      </c>
      <c r="G17" s="24">
        <v>143.76900000000001</v>
      </c>
      <c r="H17" s="24">
        <v>165.42699999999999</v>
      </c>
      <c r="I17" s="24">
        <v>190.19900000000001</v>
      </c>
      <c r="J17" s="24">
        <v>193.97</v>
      </c>
      <c r="T17" s="24">
        <v>110.494</v>
      </c>
      <c r="U17" s="24">
        <v>137.42599999999999</v>
      </c>
    </row>
    <row r="18" spans="2:22" s="23" customFormat="1" x14ac:dyDescent="0.25">
      <c r="B18" s="23" t="s">
        <v>60</v>
      </c>
      <c r="C18" s="23">
        <f t="shared" ref="C18:I18" si="26">C16/C17</f>
        <v>-1.6147873908198832E-2</v>
      </c>
      <c r="D18" s="23">
        <f t="shared" si="26"/>
        <v>-4.5202827427851075E-2</v>
      </c>
      <c r="E18" s="23">
        <f>E16/E17</f>
        <v>5.2767691544108458E-3</v>
      </c>
      <c r="F18" s="23">
        <f t="shared" si="26"/>
        <v>-0.14022761400458392</v>
      </c>
      <c r="G18" s="23">
        <f t="shared" si="26"/>
        <v>-0.34845481292907371</v>
      </c>
      <c r="H18" s="23">
        <f t="shared" si="26"/>
        <v>-3.2154182811753826</v>
      </c>
      <c r="I18" s="23">
        <f t="shared" si="26"/>
        <v>2.1528662085499923</v>
      </c>
      <c r="J18" s="23">
        <f>J16/J17</f>
        <v>-0.76162808681754923</v>
      </c>
      <c r="K18" s="23" t="e">
        <f t="shared" ref="K18:N18" si="27">K16/K17</f>
        <v>#DIV/0!</v>
      </c>
      <c r="L18" s="23" t="e">
        <f t="shared" si="27"/>
        <v>#DIV/0!</v>
      </c>
      <c r="M18" s="23" t="e">
        <f t="shared" si="27"/>
        <v>#DIV/0!</v>
      </c>
      <c r="N18" s="23" t="e">
        <f t="shared" si="27"/>
        <v>#DIV/0!</v>
      </c>
      <c r="T18" s="23">
        <f t="shared" ref="T18" si="28">T16/T17</f>
        <v>-0.51275182362843241</v>
      </c>
      <c r="U18" s="23">
        <f t="shared" ref="U18" si="29">U16/U17</f>
        <v>-4.359808187679187</v>
      </c>
      <c r="V18" s="23" t="e">
        <f t="shared" ref="V18" si="30">V16/V17</f>
        <v>#DIV/0!</v>
      </c>
    </row>
    <row r="20" spans="2:22" s="26" customFormat="1" x14ac:dyDescent="0.25">
      <c r="B20" s="26" t="s">
        <v>61</v>
      </c>
      <c r="C20" s="26">
        <f t="shared" ref="C20:E20" si="31">C5/C3</f>
        <v>0.24187026791748278</v>
      </c>
      <c r="D20" s="26">
        <f t="shared" si="31"/>
        <v>0.23547645583728055</v>
      </c>
      <c r="E20" s="26">
        <f t="shared" si="31"/>
        <v>0.28560072297625222</v>
      </c>
      <c r="F20" s="26">
        <f t="shared" ref="F20:I20" si="32">F5/F3</f>
        <v>0.24594624555321531</v>
      </c>
      <c r="G20" s="26">
        <f t="shared" si="32"/>
        <v>4.4575924164503705E-2</v>
      </c>
      <c r="H20" s="26">
        <f t="shared" si="32"/>
        <v>7.3879277869541335E-2</v>
      </c>
      <c r="I20" s="26">
        <f t="shared" si="32"/>
        <v>-4.5987337440109431E-2</v>
      </c>
      <c r="J20" s="26">
        <f>J5/J3</f>
        <v>8.2400277667082272E-2</v>
      </c>
      <c r="K20" s="26" t="e">
        <f t="shared" ref="K20:N20" si="33">K5/K3</f>
        <v>#DIV/0!</v>
      </c>
      <c r="L20" s="26" t="e">
        <f t="shared" si="33"/>
        <v>#DIV/0!</v>
      </c>
      <c r="M20" s="26" t="e">
        <f t="shared" si="33"/>
        <v>#DIV/0!</v>
      </c>
      <c r="N20" s="26" t="e">
        <f t="shared" si="33"/>
        <v>#DIV/0!</v>
      </c>
      <c r="T20" s="26">
        <f t="shared" ref="T20:V20" si="34">T5/T3</f>
        <v>0.21111967310082097</v>
      </c>
      <c r="U20" s="26">
        <f t="shared" si="34"/>
        <v>0.18983252425796635</v>
      </c>
      <c r="V20" s="26">
        <f t="shared" si="34"/>
        <v>4.2510300828496619E-2</v>
      </c>
    </row>
    <row r="21" spans="2:22" s="26" customFormat="1" x14ac:dyDescent="0.25">
      <c r="B21" s="26" t="s">
        <v>65</v>
      </c>
      <c r="C21" s="26">
        <f t="shared" ref="C21:E21" si="35">C12/C3</f>
        <v>-5.1304078897632374E-2</v>
      </c>
      <c r="D21" s="26">
        <f t="shared" si="35"/>
        <v>3.2660560044580643E-2</v>
      </c>
      <c r="E21" s="26">
        <f t="shared" si="35"/>
        <v>4.1922581292989872E-3</v>
      </c>
      <c r="F21" s="26">
        <f t="shared" ref="F21:I21" si="36">F12/F3</f>
        <v>-0.15826018603432465</v>
      </c>
      <c r="G21" s="26">
        <f t="shared" si="36"/>
        <v>-0.86393461123023096</v>
      </c>
      <c r="H21" s="26">
        <f t="shared" si="36"/>
        <v>-7.5468283636152877</v>
      </c>
      <c r="I21" s="26">
        <f t="shared" si="36"/>
        <v>5.9354323522701344</v>
      </c>
      <c r="J21" s="26">
        <f>J12/J3</f>
        <v>-0.86280546592793528</v>
      </c>
      <c r="K21" s="26" t="e">
        <f t="shared" ref="K21:N21" si="37">K12/K3</f>
        <v>#DIV/0!</v>
      </c>
      <c r="L21" s="26" t="e">
        <f t="shared" si="37"/>
        <v>#DIV/0!</v>
      </c>
      <c r="M21" s="26" t="e">
        <f t="shared" si="37"/>
        <v>#DIV/0!</v>
      </c>
      <c r="N21" s="26" t="e">
        <f t="shared" si="37"/>
        <v>#DIV/0!</v>
      </c>
      <c r="T21" s="26">
        <f t="shared" ref="T21:V21" si="38">T12/T3</f>
        <v>-0.14176212983714739</v>
      </c>
      <c r="U21" s="26">
        <f t="shared" si="38"/>
        <v>-1.6857900063468103</v>
      </c>
      <c r="V21" s="26">
        <f t="shared" si="38"/>
        <v>1.2494041026095433</v>
      </c>
    </row>
    <row r="22" spans="2:22" s="26" customFormat="1" x14ac:dyDescent="0.25">
      <c r="B22" s="26" t="s">
        <v>62</v>
      </c>
      <c r="C22" s="26">
        <f t="shared" ref="C22:E22" si="39">C15/C14</f>
        <v>-0.44792626728110613</v>
      </c>
      <c r="D22" s="26">
        <f t="shared" si="39"/>
        <v>-2.0182555780933069</v>
      </c>
      <c r="E22" s="26">
        <f t="shared" si="39"/>
        <v>-7.0552147239263285E-2</v>
      </c>
      <c r="F22" s="26">
        <f t="shared" ref="F22:I22" si="40">F15/F14</f>
        <v>0.12668275336550672</v>
      </c>
      <c r="G22" s="26">
        <f t="shared" si="40"/>
        <v>-6.9175027870680042E-2</v>
      </c>
      <c r="H22" s="26">
        <f t="shared" si="40"/>
        <v>-1.4286304296404206E-3</v>
      </c>
      <c r="I22" s="26">
        <f t="shared" si="40"/>
        <v>6.3308404829723495E-3</v>
      </c>
      <c r="J22" s="26">
        <f>J15/J14</f>
        <v>-1.331710944365578E-3</v>
      </c>
      <c r="K22" s="26" t="e">
        <f t="shared" ref="K22:N22" si="41">K15/K14</f>
        <v>#DIV/0!</v>
      </c>
      <c r="L22" s="26" t="e">
        <f t="shared" si="41"/>
        <v>#DIV/0!</v>
      </c>
      <c r="M22" s="26" t="e">
        <f t="shared" si="41"/>
        <v>#DIV/0!</v>
      </c>
      <c r="N22" s="26" t="e">
        <f t="shared" si="41"/>
        <v>#DIV/0!</v>
      </c>
      <c r="T22" s="26">
        <f t="shared" ref="T22:V22" si="42">T15/T14</f>
        <v>0.1115340095348335</v>
      </c>
      <c r="U22" s="26">
        <f t="shared" si="42"/>
        <v>-4.0608782667380331E-3</v>
      </c>
      <c r="V22" s="26">
        <f t="shared" si="42"/>
        <v>1.0707928037163037E-2</v>
      </c>
    </row>
    <row r="23" spans="2:22" s="26" customFormat="1" x14ac:dyDescent="0.25">
      <c r="B23" s="26" t="s">
        <v>63</v>
      </c>
      <c r="C23" s="26">
        <f t="shared" ref="C23:E23" si="43">C16/C3</f>
        <v>-2.0583485103604676E-2</v>
      </c>
      <c r="D23" s="26">
        <f t="shared" si="43"/>
        <v>-4.3709947060462537E-2</v>
      </c>
      <c r="E23" s="26">
        <f t="shared" si="43"/>
        <v>5.070875102505353E-3</v>
      </c>
      <c r="F23" s="26">
        <f t="shared" ref="F23:I23" si="44">F16/F3</f>
        <v>-0.17880861441715629</v>
      </c>
      <c r="G23" s="26">
        <f t="shared" si="44"/>
        <v>-0.80763836270131706</v>
      </c>
      <c r="H23" s="26">
        <f t="shared" si="44"/>
        <v>-7.7069315251093924</v>
      </c>
      <c r="I23" s="26">
        <f t="shared" si="44"/>
        <v>5.8389373716632447</v>
      </c>
      <c r="J23" s="26">
        <f>J16/J3</f>
        <v>-0.94955071923487322</v>
      </c>
      <c r="K23" s="26" t="e">
        <f t="shared" ref="K23:N23" si="45">K16/K3</f>
        <v>#DIV/0!</v>
      </c>
      <c r="L23" s="26" t="e">
        <f t="shared" si="45"/>
        <v>#DIV/0!</v>
      </c>
      <c r="M23" s="26" t="e">
        <f t="shared" si="45"/>
        <v>#DIV/0!</v>
      </c>
      <c r="N23" s="26" t="e">
        <f t="shared" si="45"/>
        <v>#DIV/0!</v>
      </c>
      <c r="T23" s="26">
        <f t="shared" ref="T23:V23" si="46">T16/T3</f>
        <v>-0.15372509862869488</v>
      </c>
      <c r="U23" s="26">
        <f t="shared" si="46"/>
        <v>-1.7129269087603136</v>
      </c>
      <c r="V23" s="26">
        <f t="shared" si="46"/>
        <v>1.1596296132205044</v>
      </c>
    </row>
    <row r="24" spans="2:22" s="26" customFormat="1" x14ac:dyDescent="0.25"/>
    <row r="25" spans="2:22" s="26" customFormat="1" x14ac:dyDescent="0.25">
      <c r="B25" s="26" t="s">
        <v>64</v>
      </c>
      <c r="F25" s="26" t="e">
        <f>F3/#REF!-1</f>
        <v>#REF!</v>
      </c>
      <c r="G25" s="26">
        <f t="shared" ref="G25:I25" si="47">G3/C3-1</f>
        <v>-0.28949749722231766</v>
      </c>
      <c r="H25" s="26">
        <f t="shared" si="47"/>
        <v>-0.3990491780440234</v>
      </c>
      <c r="I25" s="26">
        <f t="shared" si="47"/>
        <v>-0.4131842752665138</v>
      </c>
      <c r="J25" s="26">
        <f>J3/F3-1</f>
        <v>0.56790857511412995</v>
      </c>
      <c r="K25" s="26">
        <f t="shared" ref="K25:N25" si="48">K3/G3-1</f>
        <v>-1</v>
      </c>
      <c r="L25" s="26">
        <f t="shared" si="48"/>
        <v>-1</v>
      </c>
      <c r="M25" s="26">
        <f t="shared" si="48"/>
        <v>-1</v>
      </c>
      <c r="N25" s="26">
        <f t="shared" si="48"/>
        <v>-1</v>
      </c>
      <c r="U25" s="26">
        <f>U3/T3-1</f>
        <v>-5.0934191461766809E-2</v>
      </c>
      <c r="V25" s="26">
        <f t="shared" ref="V25" si="49">V3/U3-1</f>
        <v>-0.35471236370081938</v>
      </c>
    </row>
    <row r="26" spans="2:22" s="26" customFormat="1" x14ac:dyDescent="0.25">
      <c r="B26" s="26" t="s">
        <v>146</v>
      </c>
      <c r="D26" s="26">
        <f t="shared" ref="D26:I26" si="50">D17/C17-1</f>
        <v>-2.0577980662089823E-3</v>
      </c>
      <c r="E26" s="26">
        <f t="shared" si="50"/>
        <v>3.4109225158705181E-2</v>
      </c>
      <c r="F26" s="26">
        <f t="shared" si="50"/>
        <v>0.10176501832937146</v>
      </c>
      <c r="G26" s="26">
        <f t="shared" si="50"/>
        <v>0.13624436892436576</v>
      </c>
      <c r="H26" s="26">
        <f t="shared" si="50"/>
        <v>0.15064443656142834</v>
      </c>
      <c r="I26" s="26">
        <f t="shared" si="50"/>
        <v>0.1497458093297952</v>
      </c>
      <c r="J26" s="26">
        <f>J17/I17-1</f>
        <v>1.9826602663526094E-2</v>
      </c>
      <c r="K26" s="26">
        <f t="shared" ref="K26:N26" si="51">K17/J17-1</f>
        <v>-1</v>
      </c>
      <c r="L26" s="26" t="e">
        <f t="shared" si="51"/>
        <v>#DIV/0!</v>
      </c>
      <c r="M26" s="26" t="e">
        <f t="shared" si="51"/>
        <v>#DIV/0!</v>
      </c>
      <c r="N26" s="26" t="e">
        <f t="shared" si="51"/>
        <v>#DIV/0!</v>
      </c>
      <c r="U26" s="26">
        <f>U17/T17-1</f>
        <v>0.24374174163302964</v>
      </c>
      <c r="V26" s="26">
        <f t="shared" ref="V26" si="52">V17/U17-1</f>
        <v>-1</v>
      </c>
    </row>
    <row r="29" spans="2:22" s="24" customFormat="1" x14ac:dyDescent="0.25">
      <c r="B29" s="24" t="s">
        <v>66</v>
      </c>
      <c r="C29" s="24">
        <f t="shared" ref="C29:I29" si="53">+C30+C31+C32-C55-C59</f>
        <v>0</v>
      </c>
      <c r="D29" s="24">
        <f t="shared" si="53"/>
        <v>137.48200000000003</v>
      </c>
      <c r="E29" s="24">
        <f t="shared" si="53"/>
        <v>0</v>
      </c>
      <c r="F29" s="24">
        <f t="shared" si="53"/>
        <v>0</v>
      </c>
      <c r="G29" s="24">
        <f t="shared" si="53"/>
        <v>238.32100000000003</v>
      </c>
      <c r="H29" s="24">
        <f t="shared" si="53"/>
        <v>354.82400000000001</v>
      </c>
      <c r="I29" s="24">
        <f t="shared" si="53"/>
        <v>143.45700000000002</v>
      </c>
      <c r="J29" s="24">
        <f>+J30+J31+J32-J55-J59</f>
        <v>-50.979000000000042</v>
      </c>
      <c r="K29" s="24">
        <f t="shared" ref="K29:N29" si="54">+K30+K31+K32-K55-K59</f>
        <v>0</v>
      </c>
      <c r="L29" s="24">
        <f t="shared" si="54"/>
        <v>0</v>
      </c>
      <c r="M29" s="24">
        <f t="shared" si="54"/>
        <v>0</v>
      </c>
      <c r="N29" s="24">
        <f t="shared" si="54"/>
        <v>0</v>
      </c>
      <c r="T29" s="24">
        <f t="shared" ref="T29" si="55">+T30+T31+T32-T55-T59</f>
        <v>137.48200000000003</v>
      </c>
      <c r="U29" s="24">
        <f t="shared" ref="U29:V29" si="56">+U30+U31+U32-U55-U59</f>
        <v>354.82400000000001</v>
      </c>
      <c r="V29" s="24">
        <f t="shared" si="56"/>
        <v>0</v>
      </c>
    </row>
    <row r="30" spans="2:22" s="24" customFormat="1" x14ac:dyDescent="0.25">
      <c r="B30" s="24" t="s">
        <v>67</v>
      </c>
      <c r="D30" s="24">
        <v>144.72900000000001</v>
      </c>
      <c r="G30" s="24">
        <v>291.31400000000002</v>
      </c>
      <c r="H30" s="24">
        <v>476.27</v>
      </c>
      <c r="I30" s="24">
        <v>215.642</v>
      </c>
      <c r="J30" s="24">
        <v>299.79199999999997</v>
      </c>
      <c r="T30" s="24">
        <v>144.72900000000001</v>
      </c>
      <c r="U30" s="24">
        <v>476.27</v>
      </c>
    </row>
    <row r="31" spans="2:22" s="24" customFormat="1" x14ac:dyDescent="0.25">
      <c r="B31" s="24" t="s">
        <v>68</v>
      </c>
      <c r="H31" s="24">
        <v>9.1440000000000001</v>
      </c>
      <c r="I31" s="24">
        <v>12.106999999999999</v>
      </c>
      <c r="J31" s="24">
        <v>12.965</v>
      </c>
      <c r="U31" s="24">
        <v>9.1440000000000001</v>
      </c>
    </row>
    <row r="32" spans="2:22" s="24" customFormat="1" x14ac:dyDescent="0.25">
      <c r="B32" s="24" t="s">
        <v>69</v>
      </c>
      <c r="D32" s="24">
        <v>15.371</v>
      </c>
      <c r="G32" s="24">
        <v>39.700000000000003</v>
      </c>
      <c r="H32" s="24">
        <v>77.537000000000006</v>
      </c>
      <c r="I32" s="24">
        <v>131.14400000000001</v>
      </c>
      <c r="J32" s="24">
        <v>169.34</v>
      </c>
      <c r="T32" s="24">
        <v>15.371</v>
      </c>
      <c r="U32" s="24">
        <v>77.537000000000006</v>
      </c>
    </row>
    <row r="33" spans="2:22" s="24" customFormat="1" x14ac:dyDescent="0.25">
      <c r="B33" s="24" t="s">
        <v>70</v>
      </c>
      <c r="D33" s="24">
        <v>17.277000000000001</v>
      </c>
      <c r="G33" s="24">
        <v>8.8000000000000007</v>
      </c>
      <c r="H33" s="24">
        <v>9.6270000000000007</v>
      </c>
      <c r="I33" s="24">
        <v>10.263</v>
      </c>
      <c r="J33" s="24">
        <v>12.7</v>
      </c>
      <c r="T33" s="24">
        <v>17.277000000000001</v>
      </c>
      <c r="U33" s="24">
        <v>9.6270000000000007</v>
      </c>
    </row>
    <row r="34" spans="2:22" s="24" customFormat="1" x14ac:dyDescent="0.25">
      <c r="B34" s="24" t="s">
        <v>71</v>
      </c>
      <c r="D34" s="24">
        <v>0.187</v>
      </c>
      <c r="G34" s="24">
        <v>15.868</v>
      </c>
      <c r="H34" s="24">
        <v>15.512</v>
      </c>
      <c r="I34" s="24">
        <v>15.71</v>
      </c>
      <c r="J34" s="24">
        <v>15.568</v>
      </c>
      <c r="T34" s="24">
        <v>0.187</v>
      </c>
      <c r="U34" s="24">
        <v>15.512</v>
      </c>
    </row>
    <row r="35" spans="2:22" s="24" customFormat="1" x14ac:dyDescent="0.25">
      <c r="B35" s="24" t="s">
        <v>72</v>
      </c>
      <c r="D35" s="24">
        <v>97.087000000000003</v>
      </c>
      <c r="G35" s="24">
        <v>68.790999999999997</v>
      </c>
      <c r="H35" s="24">
        <v>291.92899999999997</v>
      </c>
      <c r="I35" s="24">
        <v>335.07100000000003</v>
      </c>
      <c r="J35" s="24">
        <v>391.63299999999998</v>
      </c>
      <c r="T35" s="24">
        <v>97.087000000000003</v>
      </c>
      <c r="U35" s="24">
        <v>291.92899999999997</v>
      </c>
    </row>
    <row r="36" spans="2:22" s="24" customFormat="1" x14ac:dyDescent="0.25">
      <c r="B36" s="24" t="s">
        <v>73</v>
      </c>
      <c r="D36" s="24">
        <v>0.34599999999999997</v>
      </c>
      <c r="G36" s="24">
        <v>68.632999999999996</v>
      </c>
      <c r="H36" s="24">
        <v>64.888000000000005</v>
      </c>
      <c r="I36" s="24">
        <v>153.74</v>
      </c>
      <c r="J36" s="24">
        <v>208.78200000000001</v>
      </c>
      <c r="T36" s="24">
        <v>0.34599999999999997</v>
      </c>
      <c r="U36" s="24">
        <v>64.888000000000005</v>
      </c>
    </row>
    <row r="37" spans="2:22" s="24" customFormat="1" x14ac:dyDescent="0.25">
      <c r="B37" s="24" t="s">
        <v>74</v>
      </c>
      <c r="D37" s="24">
        <v>37.774999999999999</v>
      </c>
      <c r="G37" s="24">
        <v>41.566000000000003</v>
      </c>
      <c r="H37" s="24">
        <v>4.54</v>
      </c>
      <c r="I37" s="24">
        <v>4.54</v>
      </c>
      <c r="J37" s="24">
        <v>4.54</v>
      </c>
      <c r="T37" s="24">
        <v>37.774999999999999</v>
      </c>
      <c r="U37" s="24">
        <v>4.54</v>
      </c>
    </row>
    <row r="38" spans="2:22" s="24" customFormat="1" x14ac:dyDescent="0.25">
      <c r="B38" s="24" t="s">
        <v>75</v>
      </c>
      <c r="D38" s="24">
        <v>9.5380000000000003</v>
      </c>
      <c r="G38" s="24">
        <v>9.1440000000000001</v>
      </c>
      <c r="H38" s="24">
        <v>8.2119999999999997</v>
      </c>
      <c r="I38" s="24">
        <v>5.9</v>
      </c>
      <c r="J38" s="24">
        <v>6.1440000000000001</v>
      </c>
      <c r="T38" s="24">
        <v>9.5380000000000003</v>
      </c>
      <c r="U38" s="24">
        <v>8.2119999999999997</v>
      </c>
    </row>
    <row r="39" spans="2:22" s="24" customFormat="1" x14ac:dyDescent="0.25">
      <c r="B39" s="24" t="s">
        <v>76</v>
      </c>
      <c r="H39" s="24">
        <v>18.244</v>
      </c>
      <c r="I39" s="24">
        <v>46.652000000000001</v>
      </c>
      <c r="J39" s="24">
        <v>73.53</v>
      </c>
      <c r="U39" s="24">
        <v>18.244</v>
      </c>
    </row>
    <row r="40" spans="2:22" s="24" customFormat="1" x14ac:dyDescent="0.25">
      <c r="B40" s="24" t="s">
        <v>77</v>
      </c>
      <c r="H40" s="24">
        <v>37.981000000000002</v>
      </c>
      <c r="I40" s="24">
        <v>35.427999999999997</v>
      </c>
      <c r="J40" s="24">
        <v>35.082999999999998</v>
      </c>
      <c r="U40" s="24">
        <v>37.981000000000002</v>
      </c>
    </row>
    <row r="41" spans="2:22" s="24" customFormat="1" x14ac:dyDescent="0.25">
      <c r="B41" s="24" t="s">
        <v>78</v>
      </c>
      <c r="D41" s="24">
        <v>63.476999999999997</v>
      </c>
      <c r="G41" s="24">
        <v>52.061999999999998</v>
      </c>
      <c r="H41" s="24">
        <v>67.323999999999998</v>
      </c>
      <c r="I41" s="24">
        <v>101.581</v>
      </c>
      <c r="J41" s="24">
        <v>211.03100000000001</v>
      </c>
      <c r="T41" s="24">
        <v>63.476999999999997</v>
      </c>
      <c r="U41" s="24">
        <v>67.323999999999998</v>
      </c>
    </row>
    <row r="42" spans="2:22" s="24" customFormat="1" x14ac:dyDescent="0.25">
      <c r="B42" s="24" t="s">
        <v>79</v>
      </c>
      <c r="D42" s="24">
        <v>58.625999999999998</v>
      </c>
      <c r="G42" s="24">
        <v>65.796999999999997</v>
      </c>
      <c r="H42" s="24">
        <v>69.272999999999996</v>
      </c>
      <c r="I42" s="24">
        <v>75.337999999999994</v>
      </c>
      <c r="J42" s="24">
        <v>80.424000000000007</v>
      </c>
      <c r="T42" s="24">
        <v>58.625999999999998</v>
      </c>
      <c r="U42" s="24">
        <v>69.272999999999996</v>
      </c>
    </row>
    <row r="43" spans="2:22" s="24" customFormat="1" x14ac:dyDescent="0.25">
      <c r="B43" s="24" t="s">
        <v>80</v>
      </c>
      <c r="D43" s="24">
        <v>154.86000000000001</v>
      </c>
      <c r="G43" s="24">
        <v>221.233</v>
      </c>
      <c r="H43" s="24">
        <v>251.37700000000001</v>
      </c>
      <c r="I43" s="24">
        <v>302.20999999999998</v>
      </c>
      <c r="J43" s="24">
        <v>360.78</v>
      </c>
      <c r="T43" s="24">
        <v>154.86000000000001</v>
      </c>
      <c r="U43" s="24">
        <v>251.37700000000001</v>
      </c>
    </row>
    <row r="44" spans="2:22" s="24" customFormat="1" x14ac:dyDescent="0.25">
      <c r="B44" s="24" t="s">
        <v>81</v>
      </c>
      <c r="D44" s="24">
        <v>34.345999999999997</v>
      </c>
      <c r="G44" s="24">
        <v>33</v>
      </c>
      <c r="H44" s="24">
        <v>30.722999999999999</v>
      </c>
      <c r="I44" s="24">
        <v>30.529</v>
      </c>
      <c r="J44" s="24">
        <v>31.137</v>
      </c>
      <c r="T44" s="24">
        <v>34.345999999999997</v>
      </c>
      <c r="U44" s="24">
        <v>30.722999999999999</v>
      </c>
    </row>
    <row r="45" spans="2:22" s="24" customFormat="1" x14ac:dyDescent="0.25">
      <c r="B45" s="24" t="s">
        <v>82</v>
      </c>
      <c r="D45" s="24">
        <v>4.7770000000000001</v>
      </c>
      <c r="G45" s="24">
        <v>89.4</v>
      </c>
      <c r="H45" s="24">
        <v>83.234999999999999</v>
      </c>
      <c r="I45" s="24">
        <v>78.3</v>
      </c>
      <c r="J45" s="24">
        <v>83.192999999999998</v>
      </c>
      <c r="T45" s="24">
        <v>4.7770000000000001</v>
      </c>
      <c r="U45" s="24">
        <v>83.234999999999999</v>
      </c>
    </row>
    <row r="46" spans="2:22" s="24" customFormat="1" x14ac:dyDescent="0.25">
      <c r="B46" s="24" t="s">
        <v>83</v>
      </c>
      <c r="G46" s="24">
        <v>35.817999999999998</v>
      </c>
      <c r="H46" s="24">
        <v>35.817999999999998</v>
      </c>
      <c r="I46" s="24">
        <v>35.817999999999998</v>
      </c>
      <c r="J46" s="24">
        <v>35.817999999999998</v>
      </c>
      <c r="U46" s="24">
        <v>35.817999999999998</v>
      </c>
    </row>
    <row r="47" spans="2:22" s="24" customFormat="1" x14ac:dyDescent="0.25">
      <c r="B47" s="24" t="s">
        <v>84</v>
      </c>
      <c r="D47" s="24">
        <v>0.99099999999999999</v>
      </c>
      <c r="G47" s="24">
        <v>5.2969999999999997</v>
      </c>
      <c r="H47" s="24">
        <v>6.22</v>
      </c>
      <c r="I47" s="24">
        <v>8.5429999999999993</v>
      </c>
      <c r="J47" s="24">
        <v>8.61</v>
      </c>
      <c r="T47" s="24">
        <v>0.99099999999999999</v>
      </c>
      <c r="U47" s="24">
        <v>6.22</v>
      </c>
    </row>
    <row r="48" spans="2:22" s="25" customFormat="1" x14ac:dyDescent="0.25">
      <c r="B48" s="25" t="s">
        <v>85</v>
      </c>
      <c r="C48" s="25">
        <f t="shared" ref="C48:I48" si="57">SUM(C30:C47)</f>
        <v>0</v>
      </c>
      <c r="D48" s="25">
        <f t="shared" si="57"/>
        <v>639.38699999999994</v>
      </c>
      <c r="E48" s="25">
        <f t="shared" si="57"/>
        <v>0</v>
      </c>
      <c r="F48" s="25">
        <f t="shared" si="57"/>
        <v>0</v>
      </c>
      <c r="G48" s="25">
        <f t="shared" si="57"/>
        <v>1046.4230000000002</v>
      </c>
      <c r="H48" s="25">
        <f t="shared" si="57"/>
        <v>1557.8539999999996</v>
      </c>
      <c r="I48" s="25">
        <f t="shared" si="57"/>
        <v>1598.5159999999998</v>
      </c>
      <c r="J48" s="25">
        <f>SUM(J30:J47)</f>
        <v>2041.0699999999997</v>
      </c>
      <c r="K48" s="25">
        <f t="shared" ref="K48:N48" si="58">SUM(K30:K47)</f>
        <v>0</v>
      </c>
      <c r="L48" s="25">
        <f t="shared" si="58"/>
        <v>0</v>
      </c>
      <c r="M48" s="25">
        <f t="shared" si="58"/>
        <v>0</v>
      </c>
      <c r="N48" s="25">
        <f t="shared" si="58"/>
        <v>0</v>
      </c>
      <c r="T48" s="25">
        <f t="shared" ref="T48" si="59">SUM(T30:T47)</f>
        <v>639.38699999999994</v>
      </c>
      <c r="U48" s="25">
        <f t="shared" ref="U48:V48" si="60">SUM(U30:U47)</f>
        <v>1557.8539999999996</v>
      </c>
      <c r="V48" s="25">
        <f t="shared" si="60"/>
        <v>0</v>
      </c>
    </row>
    <row r="49" spans="2:22" s="24" customFormat="1" x14ac:dyDescent="0.25">
      <c r="B49" s="24" t="s">
        <v>86</v>
      </c>
      <c r="D49" s="24">
        <v>32.484000000000002</v>
      </c>
      <c r="G49" s="24">
        <v>36.881</v>
      </c>
      <c r="H49" s="24">
        <v>31.471</v>
      </c>
      <c r="I49" s="24">
        <v>50.728999999999999</v>
      </c>
      <c r="J49" s="24">
        <v>76.248000000000005</v>
      </c>
      <c r="T49" s="24">
        <v>32.484000000000002</v>
      </c>
      <c r="U49" s="24">
        <v>31.471</v>
      </c>
    </row>
    <row r="50" spans="2:22" s="24" customFormat="1" x14ac:dyDescent="0.25">
      <c r="B50" s="24" t="s">
        <v>87</v>
      </c>
      <c r="D50" s="24">
        <v>32.151000000000003</v>
      </c>
      <c r="G50" s="24">
        <v>34.798000000000002</v>
      </c>
      <c r="H50" s="24">
        <v>40.616999999999997</v>
      </c>
      <c r="I50" s="24">
        <v>38.097999999999999</v>
      </c>
      <c r="J50" s="24">
        <v>39.219000000000001</v>
      </c>
      <c r="T50" s="24">
        <v>32.151000000000003</v>
      </c>
      <c r="U50" s="24">
        <v>40.616999999999997</v>
      </c>
    </row>
    <row r="51" spans="2:22" s="24" customFormat="1" x14ac:dyDescent="0.25">
      <c r="B51" s="24" t="s">
        <v>88</v>
      </c>
      <c r="D51" s="24">
        <v>3.3000000000000002E-2</v>
      </c>
      <c r="G51" s="24">
        <v>6.2</v>
      </c>
      <c r="H51" s="24">
        <v>8.7469999999999999</v>
      </c>
      <c r="I51" s="24">
        <v>7.7880000000000003</v>
      </c>
      <c r="J51" s="24">
        <v>11.337</v>
      </c>
      <c r="T51" s="24">
        <v>3.3000000000000002E-2</v>
      </c>
      <c r="U51" s="24">
        <v>8.7469999999999999</v>
      </c>
    </row>
    <row r="52" spans="2:22" s="24" customFormat="1" x14ac:dyDescent="0.25">
      <c r="B52" s="24" t="s">
        <v>89</v>
      </c>
      <c r="D52" s="24">
        <v>3.367</v>
      </c>
      <c r="G52" s="24">
        <v>3.05</v>
      </c>
      <c r="H52" s="24">
        <v>2.7290000000000001</v>
      </c>
      <c r="I52" s="24">
        <v>2.4369999999999998</v>
      </c>
      <c r="J52" s="24">
        <v>2.7639999999999998</v>
      </c>
      <c r="T52" s="24">
        <v>3.367</v>
      </c>
      <c r="U52" s="24">
        <v>2.7290000000000001</v>
      </c>
    </row>
    <row r="53" spans="2:22" s="24" customFormat="1" x14ac:dyDescent="0.25">
      <c r="B53" s="24" t="s">
        <v>90</v>
      </c>
      <c r="G53" s="24">
        <v>144.37799999999999</v>
      </c>
      <c r="H53" s="24">
        <v>763.93899999999996</v>
      </c>
      <c r="I53" s="24">
        <v>256.77499999999998</v>
      </c>
      <c r="J53" s="24">
        <v>437.95299999999997</v>
      </c>
      <c r="U53" s="24">
        <v>763.93899999999996</v>
      </c>
    </row>
    <row r="54" spans="2:22" s="24" customFormat="1" x14ac:dyDescent="0.25">
      <c r="B54" s="24" t="s">
        <v>91</v>
      </c>
      <c r="D54" s="24">
        <v>144.33699999999999</v>
      </c>
      <c r="G54" s="24">
        <v>111.38200000000001</v>
      </c>
      <c r="H54" s="24">
        <v>39.029000000000003</v>
      </c>
      <c r="I54" s="24">
        <v>61</v>
      </c>
      <c r="J54" s="24">
        <v>56.863</v>
      </c>
      <c r="T54" s="24">
        <v>144.33699999999999</v>
      </c>
      <c r="U54" s="24">
        <v>39.029000000000003</v>
      </c>
    </row>
    <row r="55" spans="2:22" s="24" customFormat="1" x14ac:dyDescent="0.25">
      <c r="B55" s="24" t="s">
        <v>92</v>
      </c>
      <c r="D55" s="24">
        <v>22.617999999999999</v>
      </c>
      <c r="G55" s="24">
        <v>92.692999999999998</v>
      </c>
      <c r="H55" s="24">
        <v>208.12700000000001</v>
      </c>
      <c r="I55" s="24">
        <v>215.43600000000001</v>
      </c>
      <c r="J55" s="24">
        <f>359.684+90</f>
        <v>449.68400000000003</v>
      </c>
      <c r="T55" s="24">
        <v>22.617999999999999</v>
      </c>
      <c r="U55" s="24">
        <v>208.12700000000001</v>
      </c>
    </row>
    <row r="56" spans="2:22" s="24" customFormat="1" x14ac:dyDescent="0.25">
      <c r="B56" s="24" t="s">
        <v>93</v>
      </c>
      <c r="D56" s="24">
        <v>70.210999999999999</v>
      </c>
      <c r="G56" s="24">
        <v>78.727999999999994</v>
      </c>
      <c r="H56" s="24">
        <v>5.46</v>
      </c>
      <c r="I56" s="24">
        <v>6.8949999999999996</v>
      </c>
      <c r="J56" s="24">
        <v>7.9669999999999996</v>
      </c>
      <c r="T56" s="24">
        <v>70.210999999999999</v>
      </c>
      <c r="U56" s="24">
        <v>5.46</v>
      </c>
    </row>
    <row r="57" spans="2:22" s="24" customFormat="1" x14ac:dyDescent="0.25">
      <c r="B57" s="24" t="s">
        <v>94</v>
      </c>
      <c r="H57" s="24">
        <v>1.65</v>
      </c>
      <c r="I57" s="24">
        <v>1.786</v>
      </c>
      <c r="J57" s="24">
        <v>2.4</v>
      </c>
      <c r="U57" s="24">
        <v>1.65</v>
      </c>
    </row>
    <row r="58" spans="2:22" s="24" customFormat="1" x14ac:dyDescent="0.25">
      <c r="B58" s="24" t="s">
        <v>95</v>
      </c>
      <c r="H58" s="24">
        <v>90.2</v>
      </c>
      <c r="I58" s="24">
        <v>68.448999999999998</v>
      </c>
      <c r="J58" s="24">
        <v>67</v>
      </c>
      <c r="U58" s="24">
        <v>90.2</v>
      </c>
    </row>
    <row r="59" spans="2:22" s="24" customFormat="1" x14ac:dyDescent="0.25">
      <c r="B59" s="24" t="s">
        <v>96</v>
      </c>
      <c r="J59" s="24">
        <f>0.475+82.917</f>
        <v>83.391999999999996</v>
      </c>
    </row>
    <row r="60" spans="2:22" s="24" customFormat="1" x14ac:dyDescent="0.25">
      <c r="B60" s="24" t="s">
        <v>97</v>
      </c>
      <c r="H60" s="24">
        <v>72.673000000000002</v>
      </c>
      <c r="I60" s="24">
        <v>78.846000000000004</v>
      </c>
      <c r="J60" s="24">
        <v>84.674999999999997</v>
      </c>
      <c r="U60" s="24">
        <v>72.673000000000002</v>
      </c>
    </row>
    <row r="61" spans="2:22" s="24" customFormat="1" x14ac:dyDescent="0.25">
      <c r="B61" s="24" t="s">
        <v>98</v>
      </c>
      <c r="D61" s="24">
        <v>1.62</v>
      </c>
      <c r="G61" s="24">
        <v>17.574999999999999</v>
      </c>
      <c r="H61" s="24">
        <v>16.614000000000001</v>
      </c>
      <c r="I61" s="24">
        <v>15.721</v>
      </c>
      <c r="J61" s="24">
        <v>14.81</v>
      </c>
      <c r="T61" s="24">
        <v>1.62</v>
      </c>
      <c r="U61" s="24">
        <v>16.614000000000001</v>
      </c>
    </row>
    <row r="62" spans="2:22" s="25" customFormat="1" x14ac:dyDescent="0.25">
      <c r="B62" s="25" t="s">
        <v>99</v>
      </c>
      <c r="C62" s="25">
        <f t="shared" ref="C62:I62" si="61">SUM(C49:C61)</f>
        <v>0</v>
      </c>
      <c r="D62" s="25">
        <f t="shared" si="61"/>
        <v>306.82100000000003</v>
      </c>
      <c r="E62" s="25">
        <f t="shared" si="61"/>
        <v>0</v>
      </c>
      <c r="F62" s="25">
        <f t="shared" si="61"/>
        <v>0</v>
      </c>
      <c r="G62" s="25">
        <f t="shared" si="61"/>
        <v>525.68499999999995</v>
      </c>
      <c r="H62" s="25">
        <f t="shared" si="61"/>
        <v>1281.2560000000001</v>
      </c>
      <c r="I62" s="25">
        <f t="shared" si="61"/>
        <v>803.95999999999992</v>
      </c>
      <c r="J62" s="25">
        <f>SUM(J49:J61)</f>
        <v>1334.3120000000001</v>
      </c>
      <c r="K62" s="25">
        <f t="shared" ref="K62:N62" si="62">SUM(K49:K61)</f>
        <v>0</v>
      </c>
      <c r="L62" s="25">
        <f t="shared" si="62"/>
        <v>0</v>
      </c>
      <c r="M62" s="25">
        <f t="shared" si="62"/>
        <v>0</v>
      </c>
      <c r="N62" s="25">
        <f t="shared" si="62"/>
        <v>0</v>
      </c>
      <c r="T62" s="25">
        <f t="shared" ref="T62" si="63">SUM(T49:T61)</f>
        <v>306.82100000000003</v>
      </c>
      <c r="U62" s="25">
        <f t="shared" ref="U62:V62" si="64">SUM(U49:U61)</f>
        <v>1281.2560000000001</v>
      </c>
      <c r="V62" s="25">
        <f t="shared" si="64"/>
        <v>0</v>
      </c>
    </row>
    <row r="63" spans="2:22" s="24" customFormat="1" x14ac:dyDescent="0.25">
      <c r="B63" s="24" t="s">
        <v>100</v>
      </c>
      <c r="D63" s="24">
        <v>332.56599999999997</v>
      </c>
      <c r="G63" s="24">
        <v>520.74599999999998</v>
      </c>
      <c r="H63" s="24">
        <v>276.59800000000001</v>
      </c>
      <c r="I63" s="24">
        <v>794.649</v>
      </c>
      <c r="J63" s="24">
        <v>706.75099999999998</v>
      </c>
      <c r="T63" s="24">
        <v>332.56599999999997</v>
      </c>
      <c r="U63" s="24">
        <v>276.59800000000001</v>
      </c>
    </row>
    <row r="64" spans="2:22" s="25" customFormat="1" x14ac:dyDescent="0.25">
      <c r="B64" s="25" t="s">
        <v>101</v>
      </c>
      <c r="C64" s="25">
        <f t="shared" ref="C64:I64" si="65">C62+C63</f>
        <v>0</v>
      </c>
      <c r="D64" s="25">
        <f t="shared" si="65"/>
        <v>639.38699999999994</v>
      </c>
      <c r="E64" s="25">
        <f t="shared" si="65"/>
        <v>0</v>
      </c>
      <c r="F64" s="25">
        <f t="shared" si="65"/>
        <v>0</v>
      </c>
      <c r="G64" s="25">
        <f t="shared" si="65"/>
        <v>1046.431</v>
      </c>
      <c r="H64" s="25">
        <f t="shared" si="65"/>
        <v>1557.854</v>
      </c>
      <c r="I64" s="25">
        <f t="shared" si="65"/>
        <v>1598.6089999999999</v>
      </c>
      <c r="J64" s="25">
        <f>J62+J63</f>
        <v>2041.0630000000001</v>
      </c>
      <c r="K64" s="25">
        <f t="shared" ref="K64:N64" si="66">K62+K63</f>
        <v>0</v>
      </c>
      <c r="L64" s="25">
        <f t="shared" si="66"/>
        <v>0</v>
      </c>
      <c r="M64" s="25">
        <f t="shared" si="66"/>
        <v>0</v>
      </c>
      <c r="N64" s="25">
        <f t="shared" si="66"/>
        <v>0</v>
      </c>
      <c r="T64" s="25">
        <f t="shared" ref="T64" si="67">T62+T63</f>
        <v>639.38699999999994</v>
      </c>
      <c r="U64" s="25">
        <f t="shared" ref="U64:V64" si="68">U62+U63</f>
        <v>1557.854</v>
      </c>
      <c r="V64" s="25">
        <f t="shared" si="68"/>
        <v>0</v>
      </c>
    </row>
    <row r="67" spans="2:22" s="40" customFormat="1" x14ac:dyDescent="0.25">
      <c r="B67" s="39" t="s">
        <v>195</v>
      </c>
      <c r="D67" s="40">
        <f t="shared" ref="D67:I67" si="69">(D43+D41+D42+D39+D36+D46+D45+D44+D47)/D48</f>
        <v>0.49644894250274096</v>
      </c>
      <c r="E67" s="40" t="e">
        <f t="shared" si="69"/>
        <v>#DIV/0!</v>
      </c>
      <c r="F67" s="40" t="e">
        <f t="shared" si="69"/>
        <v>#DIV/0!</v>
      </c>
      <c r="G67" s="40">
        <f t="shared" si="69"/>
        <v>0.54589778703258618</v>
      </c>
      <c r="H67" s="40">
        <f t="shared" si="69"/>
        <v>0.4025422151241389</v>
      </c>
      <c r="I67" s="40">
        <f t="shared" si="69"/>
        <v>0.52092753528898061</v>
      </c>
      <c r="J67" s="40">
        <f>(J43+J41+J42+J39+J36+J46+J45+J44+J47)/J48</f>
        <v>0.53565286834846426</v>
      </c>
      <c r="K67" s="40" t="e">
        <f t="shared" ref="K67:N67" si="70">(K43+K41+K42+K39+K36+K46+K45+K44+K47)/K48</f>
        <v>#DIV/0!</v>
      </c>
      <c r="L67" s="40" t="e">
        <f t="shared" si="70"/>
        <v>#DIV/0!</v>
      </c>
      <c r="M67" s="40" t="e">
        <f t="shared" si="70"/>
        <v>#DIV/0!</v>
      </c>
      <c r="N67" s="40" t="e">
        <f t="shared" si="70"/>
        <v>#DIV/0!</v>
      </c>
      <c r="T67" s="40">
        <f t="shared" ref="T67" si="71">(T43+T41)/T48</f>
        <v>0.34147863500509085</v>
      </c>
      <c r="U67" s="40">
        <f t="shared" ref="U67:V67" si="72">(U43+U41)/U48</f>
        <v>0.20457693724829162</v>
      </c>
      <c r="V67" s="40" t="e">
        <f t="shared" si="72"/>
        <v>#DIV/0!</v>
      </c>
    </row>
    <row r="68" spans="2:22" s="40" customFormat="1" x14ac:dyDescent="0.25">
      <c r="B68" s="39" t="s">
        <v>196</v>
      </c>
      <c r="D68" s="40">
        <f t="shared" ref="D68:I68" si="73">SUM(D30:D35)/SUM(D49:D56)</f>
        <v>0.89990203177578054</v>
      </c>
      <c r="E68" s="40" t="e">
        <f t="shared" si="73"/>
        <v>#DIV/0!</v>
      </c>
      <c r="F68" s="40" t="e">
        <f t="shared" si="73"/>
        <v>#DIV/0!</v>
      </c>
      <c r="G68" s="40">
        <f t="shared" si="73"/>
        <v>0.83539587884513211</v>
      </c>
      <c r="H68" s="40">
        <f t="shared" si="73"/>
        <v>0.79993073476596621</v>
      </c>
      <c r="I68" s="40">
        <f t="shared" si="73"/>
        <v>1.1263834607405367</v>
      </c>
      <c r="J68" s="40">
        <f>SUM(J30:J35)/SUM(J49:J56)</f>
        <v>0.83361259108993691</v>
      </c>
      <c r="K68" s="40" t="e">
        <f t="shared" ref="K68:N68" si="74">SUM(K30:K35)/SUM(K49:K56)</f>
        <v>#DIV/0!</v>
      </c>
      <c r="L68" s="40" t="e">
        <f t="shared" si="74"/>
        <v>#DIV/0!</v>
      </c>
      <c r="M68" s="40" t="e">
        <f t="shared" si="74"/>
        <v>#DIV/0!</v>
      </c>
      <c r="N68" s="40" t="e">
        <f t="shared" si="74"/>
        <v>#DIV/0!</v>
      </c>
    </row>
    <row r="69" spans="2:22" s="40" customFormat="1" x14ac:dyDescent="0.25">
      <c r="B69" s="39" t="s">
        <v>197</v>
      </c>
      <c r="D69" s="40">
        <f t="shared" ref="D69:I69" si="75">D62/D63</f>
        <v>0.92258679480163353</v>
      </c>
      <c r="E69" s="40" t="e">
        <f t="shared" si="75"/>
        <v>#DIV/0!</v>
      </c>
      <c r="F69" s="40" t="e">
        <f t="shared" si="75"/>
        <v>#DIV/0!</v>
      </c>
      <c r="G69" s="40">
        <f t="shared" si="75"/>
        <v>1.0094844703559893</v>
      </c>
      <c r="H69" s="40">
        <f t="shared" si="75"/>
        <v>4.6321954605600908</v>
      </c>
      <c r="I69" s="40">
        <f t="shared" si="75"/>
        <v>1.0117171229058364</v>
      </c>
      <c r="J69" s="40">
        <f>J62/J63</f>
        <v>1.8879520510052341</v>
      </c>
      <c r="K69" s="40" t="e">
        <f t="shared" ref="K69:N69" si="76">K62/K63</f>
        <v>#DIV/0!</v>
      </c>
      <c r="L69" s="40" t="e">
        <f t="shared" si="76"/>
        <v>#DIV/0!</v>
      </c>
      <c r="M69" s="40" t="e">
        <f t="shared" si="76"/>
        <v>#DIV/0!</v>
      </c>
      <c r="N69" s="40" t="e">
        <f t="shared" si="76"/>
        <v>#DIV/0!</v>
      </c>
    </row>
    <row r="71" spans="2:22" s="24" customFormat="1" x14ac:dyDescent="0.25">
      <c r="B71" s="24" t="s">
        <v>103</v>
      </c>
      <c r="C71" s="24">
        <v>-48.302999999999997</v>
      </c>
      <c r="D71" s="24">
        <v>-76.962999999999994</v>
      </c>
      <c r="E71" s="24">
        <v>-132.86699999999999</v>
      </c>
      <c r="F71" s="24">
        <v>-68.507000000000005</v>
      </c>
      <c r="G71" s="24">
        <v>-90.164000000000001</v>
      </c>
      <c r="H71" s="24">
        <v>-321.62900000000002</v>
      </c>
      <c r="I71" s="24">
        <v>-280.88900000000001</v>
      </c>
      <c r="J71" s="24">
        <v>-319.553</v>
      </c>
      <c r="T71" s="24">
        <v>-283.86799999999999</v>
      </c>
      <c r="U71" s="24">
        <v>-613.16700000000003</v>
      </c>
    </row>
    <row r="72" spans="2:22" s="24" customFormat="1" x14ac:dyDescent="0.25">
      <c r="B72" s="24" t="s">
        <v>105</v>
      </c>
      <c r="C72" s="24">
        <v>-0.64700000000000002</v>
      </c>
      <c r="D72" s="24">
        <v>-0.65900000000000003</v>
      </c>
      <c r="E72" s="24">
        <v>-0.65200000000000002</v>
      </c>
      <c r="F72" s="24">
        <v>-1.024</v>
      </c>
      <c r="G72" s="24">
        <v>-0.89500000000000002</v>
      </c>
      <c r="H72" s="24">
        <v>-0.90200000000000002</v>
      </c>
      <c r="I72" s="24">
        <v>-0.70199999999999996</v>
      </c>
      <c r="J72" s="24">
        <v>-1.2569999999999999</v>
      </c>
      <c r="T72" s="24">
        <v>-2.605</v>
      </c>
      <c r="U72" s="24">
        <v>-3.4729999999999999</v>
      </c>
    </row>
    <row r="73" spans="2:22" s="24" customFormat="1" x14ac:dyDescent="0.25">
      <c r="B73" s="24" t="s">
        <v>104</v>
      </c>
      <c r="C73" s="24">
        <v>-3.4000000000000002E-2</v>
      </c>
      <c r="D73" s="24">
        <v>-0.94</v>
      </c>
      <c r="E73" s="24">
        <v>-0.46500000000000002</v>
      </c>
      <c r="F73" s="24">
        <v>-0.46500000000000002</v>
      </c>
      <c r="G73" s="24">
        <v>-0.80600000000000005</v>
      </c>
      <c r="H73" s="24">
        <v>-2.2160000000000002</v>
      </c>
      <c r="I73" s="24">
        <v>-4.4930000000000003</v>
      </c>
      <c r="J73" s="24">
        <v>-15.308</v>
      </c>
      <c r="T73" s="24">
        <v>-2.181</v>
      </c>
      <c r="U73" s="24">
        <v>-3.952</v>
      </c>
    </row>
    <row r="74" spans="2:22" s="24" customFormat="1" x14ac:dyDescent="0.25">
      <c r="B74" s="24" t="s">
        <v>106</v>
      </c>
      <c r="C74" s="24">
        <v>1.4650000000000001</v>
      </c>
      <c r="D74" s="24">
        <v>2.0329999999999999</v>
      </c>
      <c r="E74" s="24">
        <v>1.8129999999999999</v>
      </c>
      <c r="F74" s="24">
        <v>1.722</v>
      </c>
      <c r="G74" s="24">
        <v>1.927</v>
      </c>
      <c r="H74" s="24">
        <v>1.653</v>
      </c>
      <c r="I74" s="24">
        <v>2.7240000000000002</v>
      </c>
      <c r="J74" s="24">
        <v>1.7490000000000001</v>
      </c>
      <c r="T74" s="24">
        <v>7.5720000000000001</v>
      </c>
      <c r="U74" s="24">
        <v>7.1150000000000002</v>
      </c>
    </row>
    <row r="75" spans="2:22" s="24" customFormat="1" x14ac:dyDescent="0.25">
      <c r="B75" s="24" t="s">
        <v>107</v>
      </c>
      <c r="C75" s="24">
        <v>-5.8000000000000003E-2</v>
      </c>
      <c r="D75" s="24">
        <f>-1.347+10.795</f>
        <v>9.4480000000000004</v>
      </c>
      <c r="F75" s="24">
        <v>-5.85</v>
      </c>
      <c r="G75" s="24">
        <v>-0.78200000000000003</v>
      </c>
      <c r="H75" s="24">
        <v>-1.964</v>
      </c>
      <c r="I75" s="24">
        <v>-0.628</v>
      </c>
      <c r="J75" s="24">
        <v>-0.502</v>
      </c>
      <c r="T75" s="24">
        <f>-1.5+10.795</f>
        <v>9.2949999999999999</v>
      </c>
      <c r="U75" s="24">
        <v>-8.5960000000000001</v>
      </c>
    </row>
    <row r="76" spans="2:22" s="25" customFormat="1" x14ac:dyDescent="0.25">
      <c r="B76" s="25" t="s">
        <v>109</v>
      </c>
      <c r="C76" s="25">
        <f t="shared" ref="C76" si="77">SUM(C71:C75)</f>
        <v>-47.576999999999991</v>
      </c>
      <c r="D76" s="25">
        <f t="shared" ref="D76" si="78">SUM(D71:D75)</f>
        <v>-67.080999999999989</v>
      </c>
      <c r="E76" s="25">
        <f t="shared" ref="E76:I76" si="79">SUM(E71:E75)</f>
        <v>-132.17099999999999</v>
      </c>
      <c r="F76" s="25">
        <f t="shared" si="79"/>
        <v>-74.124000000000009</v>
      </c>
      <c r="G76" s="25">
        <f t="shared" si="79"/>
        <v>-90.719999999999985</v>
      </c>
      <c r="H76" s="25">
        <f t="shared" si="79"/>
        <v>-325.05799999999999</v>
      </c>
      <c r="I76" s="25">
        <f t="shared" si="79"/>
        <v>-283.988</v>
      </c>
      <c r="J76" s="25">
        <f>SUM(J71:J75)</f>
        <v>-334.87099999999998</v>
      </c>
      <c r="K76" s="25">
        <f t="shared" ref="K76:N76" si="80">SUM(K71:K75)</f>
        <v>0</v>
      </c>
      <c r="L76" s="25">
        <f t="shared" si="80"/>
        <v>0</v>
      </c>
      <c r="M76" s="25">
        <f t="shared" si="80"/>
        <v>0</v>
      </c>
      <c r="N76" s="25">
        <f t="shared" si="80"/>
        <v>0</v>
      </c>
      <c r="T76" s="25">
        <f t="shared" ref="T76" si="81">SUM(T71:T75)</f>
        <v>-271.78699999999998</v>
      </c>
      <c r="U76" s="25">
        <f t="shared" ref="U76" si="82">SUM(U71:U75)</f>
        <v>-622.07299999999998</v>
      </c>
      <c r="V76" s="25">
        <f t="shared" ref="V76" si="83">SUM(V71:V75)</f>
        <v>0</v>
      </c>
    </row>
    <row r="77" spans="2:22" s="24" customFormat="1" x14ac:dyDescent="0.25">
      <c r="B77" s="24" t="s">
        <v>110</v>
      </c>
      <c r="C77" s="24">
        <v>-13.371</v>
      </c>
      <c r="D77" s="24">
        <v>-25.324000000000002</v>
      </c>
      <c r="E77" s="24">
        <v>-29.614999999999998</v>
      </c>
      <c r="F77" s="24">
        <v>-17.332999999999998</v>
      </c>
      <c r="G77" s="24">
        <v>-29.922000000000001</v>
      </c>
      <c r="H77" s="24">
        <v>-42.616999999999997</v>
      </c>
      <c r="I77" s="24">
        <v>-44.77</v>
      </c>
      <c r="J77" s="24">
        <v>-106.548</v>
      </c>
      <c r="T77" s="24">
        <v>-63.305</v>
      </c>
      <c r="U77" s="24">
        <v>-119.48699999999999</v>
      </c>
    </row>
    <row r="78" spans="2:22" s="24" customFormat="1" x14ac:dyDescent="0.25">
      <c r="B78" s="24" t="s">
        <v>111</v>
      </c>
      <c r="C78" s="24">
        <v>-0.42399999999999999</v>
      </c>
      <c r="D78" s="24">
        <v>-0.107</v>
      </c>
      <c r="E78" s="24">
        <v>-1.56</v>
      </c>
      <c r="F78" s="24">
        <v>-0.17799999999999999</v>
      </c>
      <c r="G78" s="24">
        <v>-0.22700000000000001</v>
      </c>
      <c r="H78" s="24">
        <v>-5.766</v>
      </c>
      <c r="I78" s="24">
        <v>-0.995</v>
      </c>
      <c r="J78" s="24">
        <v>-4.9320000000000004</v>
      </c>
      <c r="T78" s="24">
        <v>-63.040999999999997</v>
      </c>
      <c r="U78" s="24">
        <v>-7.7309999999999999</v>
      </c>
    </row>
    <row r="79" spans="2:22" s="24" customFormat="1" x14ac:dyDescent="0.25">
      <c r="B79" s="24" t="s">
        <v>112</v>
      </c>
      <c r="C79" s="24">
        <v>-3</v>
      </c>
      <c r="E79" s="24">
        <v>-0.99199999999999999</v>
      </c>
      <c r="F79" s="24">
        <v>-1.532</v>
      </c>
      <c r="G79" s="24">
        <v>0.17299999999999999</v>
      </c>
      <c r="H79" s="24">
        <v>-0.42499999999999999</v>
      </c>
      <c r="I79" s="24">
        <v>-0.13200000000000001</v>
      </c>
      <c r="J79" s="24">
        <v>-1.2</v>
      </c>
      <c r="T79" s="24">
        <v>-4.4000000000000004</v>
      </c>
      <c r="U79" s="24">
        <v>-2.7759999999999998</v>
      </c>
    </row>
    <row r="80" spans="2:22" s="24" customFormat="1" x14ac:dyDescent="0.25">
      <c r="B80" s="24" t="s">
        <v>113</v>
      </c>
      <c r="I80" s="24">
        <v>-18.158999999999999</v>
      </c>
      <c r="T80" s="24">
        <v>31.111000000000001</v>
      </c>
    </row>
    <row r="81" spans="2:22" s="24" customFormat="1" x14ac:dyDescent="0.25">
      <c r="B81" s="24" t="s">
        <v>114</v>
      </c>
      <c r="D81" s="24">
        <v>7.0999999999999994E-2</v>
      </c>
      <c r="F81" s="24">
        <v>0.24399999999999999</v>
      </c>
      <c r="H81" s="24">
        <v>5.3999999999999999E-2</v>
      </c>
      <c r="T81" s="24">
        <f>0.073+0.027</f>
        <v>9.9999999999999992E-2</v>
      </c>
      <c r="U81" s="24">
        <v>0.29799999999999999</v>
      </c>
    </row>
    <row r="82" spans="2:22" s="24" customFormat="1" x14ac:dyDescent="0.25">
      <c r="B82" s="24" t="s">
        <v>115</v>
      </c>
      <c r="C82" s="24">
        <v>76.805000000000007</v>
      </c>
      <c r="D82" s="24">
        <v>97.082999999999998</v>
      </c>
      <c r="E82" s="24">
        <v>90.38</v>
      </c>
      <c r="F82" s="24">
        <v>79.343999999999994</v>
      </c>
      <c r="G82" s="24">
        <v>39.929000000000002</v>
      </c>
      <c r="H82" s="24">
        <v>38.793999999999997</v>
      </c>
      <c r="I82" s="24">
        <v>12.282999999999999</v>
      </c>
      <c r="J82" s="24">
        <v>100.068</v>
      </c>
      <c r="T82" s="24">
        <v>299.12799999999999</v>
      </c>
      <c r="U82" s="24">
        <v>248.447</v>
      </c>
    </row>
    <row r="83" spans="2:22" s="24" customFormat="1" x14ac:dyDescent="0.25">
      <c r="B83" s="24" t="s">
        <v>116</v>
      </c>
      <c r="F83" s="24">
        <v>-6.2770000000000001</v>
      </c>
      <c r="G83" s="24">
        <v>0.22600000000000001</v>
      </c>
      <c r="I83" s="24">
        <v>-21.87</v>
      </c>
      <c r="J83" s="24">
        <v>-1.0999999999999999E-2</v>
      </c>
      <c r="T83" s="24">
        <f>0.322-0.061</f>
        <v>0.26100000000000001</v>
      </c>
      <c r="U83" s="24">
        <v>-6.0510000000000002</v>
      </c>
    </row>
    <row r="84" spans="2:22" s="25" customFormat="1" x14ac:dyDescent="0.25">
      <c r="B84" s="25" t="s">
        <v>108</v>
      </c>
      <c r="C84" s="25">
        <f t="shared" ref="C84" si="84">SUM(C77:C83)</f>
        <v>60.010000000000005</v>
      </c>
      <c r="D84" s="25">
        <f t="shared" ref="D84" si="85">SUM(D77:D83)</f>
        <v>71.722999999999999</v>
      </c>
      <c r="E84" s="25">
        <f t="shared" ref="E84:I84" si="86">SUM(E77:E83)</f>
        <v>58.213000000000001</v>
      </c>
      <c r="F84" s="25">
        <f t="shared" si="86"/>
        <v>54.267999999999994</v>
      </c>
      <c r="G84" s="25">
        <f t="shared" si="86"/>
        <v>10.179</v>
      </c>
      <c r="H84" s="25">
        <f t="shared" si="86"/>
        <v>-9.9599999999999937</v>
      </c>
      <c r="I84" s="25">
        <f t="shared" si="86"/>
        <v>-73.643000000000001</v>
      </c>
      <c r="J84" s="25">
        <f>SUM(J77:J83)</f>
        <v>-12.623000000000008</v>
      </c>
      <c r="K84" s="25">
        <f t="shared" ref="K84:N84" si="87">SUM(K77:K83)</f>
        <v>0</v>
      </c>
      <c r="L84" s="25">
        <f t="shared" si="87"/>
        <v>0</v>
      </c>
      <c r="M84" s="25">
        <f t="shared" si="87"/>
        <v>0</v>
      </c>
      <c r="N84" s="25">
        <f t="shared" si="87"/>
        <v>0</v>
      </c>
      <c r="T84" s="25">
        <f t="shared" ref="T84" si="88">SUM(T77:T83)</f>
        <v>199.85399999999996</v>
      </c>
      <c r="U84" s="25">
        <f t="shared" ref="U84" si="89">SUM(U77:U83)</f>
        <v>112.7</v>
      </c>
      <c r="V84" s="25">
        <f t="shared" ref="V84" si="90">SUM(V77:V83)</f>
        <v>0</v>
      </c>
    </row>
    <row r="85" spans="2:22" s="25" customFormat="1" x14ac:dyDescent="0.25">
      <c r="B85" s="25" t="s">
        <v>117</v>
      </c>
      <c r="C85" s="25">
        <v>-8.4960000000000004</v>
      </c>
      <c r="D85" s="25">
        <v>5.2859999999999996</v>
      </c>
      <c r="E85" s="25">
        <v>48.326999999999998</v>
      </c>
      <c r="F85" s="25">
        <v>105.098</v>
      </c>
      <c r="G85" s="25">
        <v>168.06700000000001</v>
      </c>
      <c r="H85" s="25">
        <v>522.77499999999998</v>
      </c>
      <c r="I85" s="25">
        <v>94.861999999999995</v>
      </c>
      <c r="J85" s="25">
        <v>431.49</v>
      </c>
      <c r="T85" s="25">
        <v>-13.493</v>
      </c>
      <c r="U85" s="25">
        <v>844.26700000000005</v>
      </c>
    </row>
    <row r="86" spans="2:22" s="24" customFormat="1" x14ac:dyDescent="0.25">
      <c r="B86" s="24" t="s">
        <v>121</v>
      </c>
      <c r="C86" s="24">
        <v>0.372</v>
      </c>
      <c r="D86" s="24">
        <v>-3.3000000000000002E-2</v>
      </c>
      <c r="E86" s="24">
        <v>-0.63700000000000001</v>
      </c>
      <c r="F86" s="24">
        <v>0.17599999999999999</v>
      </c>
      <c r="G86" s="24">
        <v>-9.4E-2</v>
      </c>
      <c r="H86" s="24">
        <v>-2.8010000000000002</v>
      </c>
      <c r="I86" s="24">
        <v>2.101</v>
      </c>
      <c r="J86" s="24">
        <v>0.154</v>
      </c>
      <c r="T86" s="24">
        <v>-1.2070000000000001</v>
      </c>
      <c r="U86" s="24">
        <v>-3.3530000000000002</v>
      </c>
    </row>
    <row r="87" spans="2:22" s="25" customFormat="1" x14ac:dyDescent="0.25">
      <c r="B87" s="25" t="s">
        <v>118</v>
      </c>
      <c r="C87" s="25">
        <f t="shared" ref="C87" si="91">C76+C84+C85+C86</f>
        <v>4.3090000000000135</v>
      </c>
      <c r="D87" s="25">
        <f t="shared" ref="D87" si="92">D76+D84+D85+D86</f>
        <v>9.8950000000000102</v>
      </c>
      <c r="E87" s="25">
        <f>E76+E84+E85+E86</f>
        <v>-26.268000000000001</v>
      </c>
      <c r="F87" s="25">
        <f>F76+F84+F85+F86</f>
        <v>85.417999999999992</v>
      </c>
      <c r="G87" s="25">
        <f t="shared" ref="G87:N87" si="93">G76+G84+G85+G86</f>
        <v>87.432000000000031</v>
      </c>
      <c r="H87" s="25">
        <f t="shared" si="93"/>
        <v>184.95600000000002</v>
      </c>
      <c r="I87" s="25">
        <f t="shared" si="93"/>
        <v>-260.66800000000001</v>
      </c>
      <c r="J87" s="25">
        <f t="shared" si="93"/>
        <v>84.150000000000034</v>
      </c>
      <c r="K87" s="25">
        <f t="shared" si="93"/>
        <v>0</v>
      </c>
      <c r="L87" s="25">
        <f t="shared" si="93"/>
        <v>0</v>
      </c>
      <c r="M87" s="25">
        <f t="shared" si="93"/>
        <v>0</v>
      </c>
      <c r="N87" s="25">
        <f t="shared" si="93"/>
        <v>0</v>
      </c>
      <c r="T87" s="25">
        <f t="shared" ref="T87" si="94">T76+T84+T85+T86</f>
        <v>-86.63300000000001</v>
      </c>
      <c r="U87" s="25">
        <f t="shared" ref="U87" si="95">U76+U84+U85+U86</f>
        <v>331.54100000000005</v>
      </c>
      <c r="V87" s="25">
        <f t="shared" ref="V87" si="96">V76+V84+V85+V86</f>
        <v>0</v>
      </c>
    </row>
    <row r="88" spans="2:22" s="24" customFormat="1" x14ac:dyDescent="0.25">
      <c r="B88" s="24" t="s">
        <v>119</v>
      </c>
      <c r="C88" s="24">
        <v>130.203</v>
      </c>
      <c r="D88" s="24">
        <f t="shared" ref="D88:E88" si="97">+C89</f>
        <v>134.51200000000003</v>
      </c>
      <c r="E88" s="24">
        <f t="shared" si="97"/>
        <v>144.40700000000004</v>
      </c>
      <c r="F88" s="24">
        <f>+E89</f>
        <v>118.13900000000004</v>
      </c>
      <c r="G88" s="24">
        <f t="shared" ref="G88:N88" si="98">+F89</f>
        <v>203.55700000000002</v>
      </c>
      <c r="H88" s="24">
        <f t="shared" si="98"/>
        <v>290.98900000000003</v>
      </c>
      <c r="I88" s="24">
        <f t="shared" si="98"/>
        <v>475.94500000000005</v>
      </c>
      <c r="J88" s="24">
        <f t="shared" si="98"/>
        <v>215.27700000000004</v>
      </c>
      <c r="K88" s="24">
        <f t="shared" si="98"/>
        <v>299.42700000000008</v>
      </c>
      <c r="L88" s="24">
        <f t="shared" si="98"/>
        <v>299.42700000000008</v>
      </c>
      <c r="M88" s="24">
        <f t="shared" si="98"/>
        <v>299.42700000000008</v>
      </c>
      <c r="N88" s="24">
        <f t="shared" si="98"/>
        <v>299.42700000000008</v>
      </c>
      <c r="T88" s="24">
        <v>231.36199999999999</v>
      </c>
      <c r="U88" s="24">
        <f t="shared" ref="U88:V88" si="99">+T89</f>
        <v>144.72899999999998</v>
      </c>
      <c r="V88" s="24">
        <f t="shared" si="99"/>
        <v>476.27000000000004</v>
      </c>
    </row>
    <row r="89" spans="2:22" s="24" customFormat="1" x14ac:dyDescent="0.25">
      <c r="B89" s="24" t="s">
        <v>120</v>
      </c>
      <c r="C89" s="24">
        <f t="shared" ref="C89" si="100">C87+C88</f>
        <v>134.51200000000003</v>
      </c>
      <c r="D89" s="24">
        <f t="shared" ref="D89" si="101">D87+D88</f>
        <v>144.40700000000004</v>
      </c>
      <c r="E89" s="24">
        <f t="shared" ref="E89:I89" si="102">E87+E88</f>
        <v>118.13900000000004</v>
      </c>
      <c r="F89" s="24">
        <f t="shared" si="102"/>
        <v>203.55700000000002</v>
      </c>
      <c r="G89" s="24">
        <f t="shared" si="102"/>
        <v>290.98900000000003</v>
      </c>
      <c r="H89" s="24">
        <f t="shared" si="102"/>
        <v>475.94500000000005</v>
      </c>
      <c r="I89" s="24">
        <f t="shared" si="102"/>
        <v>215.27700000000004</v>
      </c>
      <c r="J89" s="24">
        <f>J87+J88</f>
        <v>299.42700000000008</v>
      </c>
      <c r="K89" s="24">
        <f t="shared" ref="K89:N89" si="103">K87+K88</f>
        <v>299.42700000000008</v>
      </c>
      <c r="L89" s="24">
        <f t="shared" si="103"/>
        <v>299.42700000000008</v>
      </c>
      <c r="M89" s="24">
        <f t="shared" si="103"/>
        <v>299.42700000000008</v>
      </c>
      <c r="N89" s="24">
        <f t="shared" si="103"/>
        <v>299.42700000000008</v>
      </c>
      <c r="T89" s="24">
        <f t="shared" ref="T89" si="104">T87+T88</f>
        <v>144.72899999999998</v>
      </c>
      <c r="U89" s="24">
        <f t="shared" ref="U89" si="105">U87+U88</f>
        <v>476.27000000000004</v>
      </c>
      <c r="V89" s="24">
        <f t="shared" ref="V89" si="106">V87+V88</f>
        <v>476.27000000000004</v>
      </c>
    </row>
    <row r="91" spans="2:22" x14ac:dyDescent="0.25">
      <c r="B91" s="38" t="s">
        <v>198</v>
      </c>
      <c r="C91" s="24">
        <f t="shared" ref="C91:I91" si="107">C76+C77</f>
        <v>-60.947999999999993</v>
      </c>
      <c r="D91" s="24">
        <f t="shared" si="107"/>
        <v>-92.404999999999987</v>
      </c>
      <c r="E91" s="24">
        <f t="shared" si="107"/>
        <v>-161.786</v>
      </c>
      <c r="F91" s="24">
        <f t="shared" si="107"/>
        <v>-91.457000000000008</v>
      </c>
      <c r="G91" s="24">
        <f t="shared" si="107"/>
        <v>-120.64199999999998</v>
      </c>
      <c r="H91" s="24">
        <f t="shared" si="107"/>
        <v>-367.67500000000001</v>
      </c>
      <c r="I91" s="24">
        <f t="shared" si="107"/>
        <v>-328.75799999999998</v>
      </c>
      <c r="J91" s="24">
        <f>J76+J77</f>
        <v>-441.41899999999998</v>
      </c>
      <c r="K91" s="24">
        <f t="shared" ref="K91:N91" si="108">K76+K77</f>
        <v>0</v>
      </c>
      <c r="L91" s="24">
        <f t="shared" si="108"/>
        <v>0</v>
      </c>
      <c r="M91" s="24">
        <f t="shared" si="108"/>
        <v>0</v>
      </c>
      <c r="N91" s="24">
        <f t="shared" si="108"/>
        <v>0</v>
      </c>
    </row>
    <row r="95" spans="2:22" s="24" customFormat="1" x14ac:dyDescent="0.25">
      <c r="B95" s="24" t="s">
        <v>102</v>
      </c>
      <c r="C95" s="24">
        <f t="shared" ref="C95:D95" si="109">C16</f>
        <v>-1.796999999999999</v>
      </c>
      <c r="D95" s="24">
        <f t="shared" si="109"/>
        <v>-5.0200000000000014</v>
      </c>
      <c r="E95" s="24">
        <f t="shared" ref="E95:I95" si="110">E16</f>
        <v>0.60600000000000476</v>
      </c>
      <c r="F95" s="24">
        <f t="shared" si="110"/>
        <v>-17.743000000000002</v>
      </c>
      <c r="G95" s="24">
        <f t="shared" si="110"/>
        <v>-50.097000000000001</v>
      </c>
      <c r="H95" s="24">
        <f t="shared" si="110"/>
        <v>-531.91700000000003</v>
      </c>
      <c r="I95" s="24">
        <f t="shared" si="110"/>
        <v>409.47300000000001</v>
      </c>
      <c r="J95" s="24">
        <f>J16</f>
        <v>-147.73300000000003</v>
      </c>
      <c r="K95" s="24">
        <f t="shared" ref="K95:N95" si="111">K16</f>
        <v>0</v>
      </c>
      <c r="L95" s="24">
        <f t="shared" si="111"/>
        <v>0</v>
      </c>
      <c r="M95" s="24">
        <f t="shared" si="111"/>
        <v>0</v>
      </c>
      <c r="N95" s="24">
        <f t="shared" si="111"/>
        <v>0</v>
      </c>
      <c r="T95" s="24">
        <f t="shared" ref="T95:V95" si="112">T16</f>
        <v>-56.656000000000013</v>
      </c>
      <c r="U95" s="24">
        <f t="shared" si="112"/>
        <v>-599.15099999999995</v>
      </c>
      <c r="V95" s="24">
        <f t="shared" si="112"/>
        <v>261.74</v>
      </c>
    </row>
    <row r="96" spans="2:22" s="24" customFormat="1" x14ac:dyDescent="0.25">
      <c r="B96" s="24" t="s">
        <v>122</v>
      </c>
      <c r="C96" s="24">
        <v>19.664000000000001</v>
      </c>
      <c r="D96" s="24">
        <v>19.654</v>
      </c>
      <c r="E96" s="24">
        <v>18.187000000000001</v>
      </c>
      <c r="F96" s="24">
        <v>18.303999999999998</v>
      </c>
      <c r="G96" s="24">
        <v>19.489000000000001</v>
      </c>
      <c r="H96" s="24">
        <v>25.116</v>
      </c>
      <c r="I96" s="24">
        <v>25.387</v>
      </c>
      <c r="J96" s="24">
        <v>26.445</v>
      </c>
      <c r="T96" s="24">
        <v>75.540999999999997</v>
      </c>
      <c r="U96" s="24">
        <v>81.096000000000004</v>
      </c>
    </row>
    <row r="97" spans="2:22" s="24" customFormat="1" x14ac:dyDescent="0.25">
      <c r="B97" s="24" t="s">
        <v>58</v>
      </c>
      <c r="C97" s="24">
        <v>-1.458</v>
      </c>
      <c r="D97" s="24">
        <v>9.9499999999999993</v>
      </c>
      <c r="E97" s="24">
        <v>4.5999999999999999E-2</v>
      </c>
      <c r="F97" s="24">
        <v>1.9950000000000001</v>
      </c>
      <c r="G97" s="24">
        <v>-3.7229999999999999</v>
      </c>
      <c r="H97" s="24">
        <v>-0.76100000000000001</v>
      </c>
      <c r="I97" s="24">
        <v>-2.5760000000000001</v>
      </c>
      <c r="J97" s="24">
        <v>-0.19700000000000001</v>
      </c>
      <c r="T97" s="24">
        <v>5.6849999999999996</v>
      </c>
      <c r="U97" s="24">
        <v>-2.4430000000000001</v>
      </c>
    </row>
    <row r="98" spans="2:22" s="24" customFormat="1" x14ac:dyDescent="0.25">
      <c r="B98" s="24" t="s">
        <v>123</v>
      </c>
      <c r="C98" s="24">
        <v>-0.73399999999999999</v>
      </c>
      <c r="D98" s="24">
        <v>-0.753</v>
      </c>
      <c r="E98" s="24">
        <v>-0.60799999999999998</v>
      </c>
      <c r="F98" s="24">
        <v>-8.9999999999999993E-3</v>
      </c>
      <c r="G98" s="24">
        <v>1.9379999999999999</v>
      </c>
      <c r="H98" s="24">
        <v>8.7289999999999992</v>
      </c>
      <c r="I98" s="24">
        <v>10.88</v>
      </c>
      <c r="J98" s="24">
        <v>15.451000000000001</v>
      </c>
      <c r="T98" s="24">
        <f>-2.872+33.151</f>
        <v>30.279000000000003</v>
      </c>
      <c r="U98" s="24">
        <v>10.050000000000001</v>
      </c>
    </row>
    <row r="99" spans="2:22" s="24" customFormat="1" x14ac:dyDescent="0.25">
      <c r="B99" s="24" t="s">
        <v>124</v>
      </c>
      <c r="C99" s="24">
        <v>12.319000000000001</v>
      </c>
      <c r="D99" s="24">
        <v>11.321999999999999</v>
      </c>
      <c r="E99" s="24">
        <v>7.8</v>
      </c>
      <c r="F99" s="24">
        <v>8.093</v>
      </c>
      <c r="G99" s="24">
        <v>9.4139999999999997</v>
      </c>
      <c r="H99" s="24">
        <v>8.6579999999999995</v>
      </c>
      <c r="I99" s="24">
        <v>10.404</v>
      </c>
      <c r="J99" s="24">
        <v>10.17</v>
      </c>
      <c r="T99" s="24">
        <v>45.488</v>
      </c>
      <c r="U99" s="24">
        <v>33.968000000000004</v>
      </c>
    </row>
    <row r="100" spans="2:22" s="24" customFormat="1" x14ac:dyDescent="0.25">
      <c r="B100" s="24" t="s">
        <v>125</v>
      </c>
      <c r="F100" s="24">
        <v>14.23</v>
      </c>
      <c r="G100" s="24">
        <v>14.43</v>
      </c>
      <c r="H100" s="24">
        <v>469.50099999999998</v>
      </c>
      <c r="I100" s="24">
        <v>-507.16199999999998</v>
      </c>
      <c r="J100" s="24">
        <v>91.241</v>
      </c>
      <c r="U100" s="24">
        <v>498.16699999999997</v>
      </c>
    </row>
    <row r="101" spans="2:22" s="24" customFormat="1" x14ac:dyDescent="0.25">
      <c r="B101" s="24" t="s">
        <v>126</v>
      </c>
      <c r="D101" s="24">
        <v>-1.81</v>
      </c>
      <c r="E101" s="24">
        <v>1.3049999999999999</v>
      </c>
      <c r="F101" s="24">
        <v>-1.337</v>
      </c>
      <c r="H101" s="24">
        <f>2.97+5.733</f>
        <v>8.7029999999999994</v>
      </c>
      <c r="I101" s="24">
        <v>-2.5510000000000002</v>
      </c>
      <c r="J101" s="24">
        <v>5.74</v>
      </c>
      <c r="T101" s="24">
        <v>-3.3050000000000002</v>
      </c>
      <c r="U101" s="24">
        <f>6.362+3.186</f>
        <v>9.548</v>
      </c>
    </row>
    <row r="102" spans="2:22" s="24" customFormat="1" x14ac:dyDescent="0.25">
      <c r="B102" s="24" t="s">
        <v>127</v>
      </c>
      <c r="H102" s="24">
        <v>8.1720000000000006</v>
      </c>
      <c r="J102" s="24">
        <v>16.193999999999999</v>
      </c>
      <c r="U102" s="24">
        <v>8.1720000000000006</v>
      </c>
    </row>
    <row r="103" spans="2:22" s="25" customFormat="1" x14ac:dyDescent="0.25">
      <c r="B103" s="25" t="s">
        <v>128</v>
      </c>
      <c r="C103" s="25">
        <f t="shared" ref="C103" si="113">SUM(C95:C102)</f>
        <v>27.994000000000003</v>
      </c>
      <c r="D103" s="25">
        <f t="shared" ref="D103" si="114">SUM(D95:D102)</f>
        <v>33.342999999999989</v>
      </c>
      <c r="E103" s="25">
        <f t="shared" ref="E103:I103" si="115">SUM(E95:E102)</f>
        <v>27.336000000000006</v>
      </c>
      <c r="F103" s="25">
        <f t="shared" si="115"/>
        <v>23.532999999999998</v>
      </c>
      <c r="G103" s="25">
        <f t="shared" si="115"/>
        <v>-8.5489999999999995</v>
      </c>
      <c r="H103" s="25">
        <f t="shared" si="115"/>
        <v>-3.7990000000000919</v>
      </c>
      <c r="I103" s="25">
        <f t="shared" si="115"/>
        <v>-56.144999999999996</v>
      </c>
      <c r="J103" s="25">
        <f>SUM(J95:J102)</f>
        <v>17.31099999999995</v>
      </c>
      <c r="K103" s="25">
        <f t="shared" ref="K103:N103" si="116">SUM(K95:K102)</f>
        <v>0</v>
      </c>
      <c r="L103" s="25">
        <f t="shared" si="116"/>
        <v>0</v>
      </c>
      <c r="M103" s="25">
        <f t="shared" si="116"/>
        <v>0</v>
      </c>
      <c r="N103" s="25">
        <f t="shared" si="116"/>
        <v>0</v>
      </c>
      <c r="T103" s="25">
        <f t="shared" ref="T103" si="117">SUM(T95:T102)</f>
        <v>97.031999999999982</v>
      </c>
      <c r="U103" s="25">
        <f t="shared" ref="U103" si="118">SUM(U95:U102)</f>
        <v>39.407000000000068</v>
      </c>
      <c r="V103" s="25">
        <f t="shared" ref="V103" si="119">SUM(V95:V102)</f>
        <v>261.74</v>
      </c>
    </row>
    <row r="104" spans="2:22" s="24" customFormat="1" x14ac:dyDescent="0.25"/>
    <row r="105" spans="2:22" s="25" customFormat="1" x14ac:dyDescent="0.25">
      <c r="B105" s="25" t="s">
        <v>129</v>
      </c>
      <c r="C105" s="25">
        <f t="shared" ref="C105:D105" si="120">C95+C99+C100+C101+C102</f>
        <v>10.522000000000002</v>
      </c>
      <c r="D105" s="25">
        <f t="shared" si="120"/>
        <v>4.4919999999999973</v>
      </c>
      <c r="E105" s="25">
        <f t="shared" ref="E105:I105" si="121">E95+E99+E100+E101+E102</f>
        <v>9.7110000000000039</v>
      </c>
      <c r="F105" s="25">
        <f t="shared" si="121"/>
        <v>3.2429999999999986</v>
      </c>
      <c r="G105" s="25">
        <f t="shared" si="121"/>
        <v>-26.253</v>
      </c>
      <c r="H105" s="25">
        <f t="shared" si="121"/>
        <v>-36.883000000000038</v>
      </c>
      <c r="I105" s="25">
        <f t="shared" si="121"/>
        <v>-89.83599999999997</v>
      </c>
      <c r="J105" s="25">
        <f>J95+J99+J100+J101+J102</f>
        <v>-24.388000000000044</v>
      </c>
      <c r="K105" s="25">
        <f t="shared" ref="K105:N105" si="122">K95+K99+K100+K101+K102</f>
        <v>0</v>
      </c>
      <c r="L105" s="25">
        <f t="shared" si="122"/>
        <v>0</v>
      </c>
      <c r="M105" s="25">
        <f t="shared" si="122"/>
        <v>0</v>
      </c>
      <c r="N105" s="25">
        <f t="shared" si="122"/>
        <v>0</v>
      </c>
      <c r="T105" s="25">
        <f t="shared" ref="T105:V105" si="123">T95+T99+T100+T101+T102</f>
        <v>-14.473000000000013</v>
      </c>
      <c r="U105" s="25">
        <f t="shared" si="123"/>
        <v>-49.296000000000021</v>
      </c>
      <c r="V105" s="25">
        <f t="shared" si="123"/>
        <v>261.74</v>
      </c>
    </row>
    <row r="107" spans="2:22" s="26" customFormat="1" x14ac:dyDescent="0.25">
      <c r="B107" s="26" t="s">
        <v>130</v>
      </c>
      <c r="G107" s="26">
        <f t="shared" ref="G107" si="124">G103/C103-1</f>
        <v>-1.3053868686147032</v>
      </c>
      <c r="H107" s="26">
        <f t="shared" ref="H107" si="125">H103/D103-1</f>
        <v>-1.113936958282101</v>
      </c>
      <c r="I107" s="26">
        <f t="shared" ref="I107" si="126">I103/E103-1</f>
        <v>-3.0538849868305524</v>
      </c>
      <c r="J107" s="26">
        <f>J103/F103-1</f>
        <v>-0.2643946798113308</v>
      </c>
      <c r="K107" s="26">
        <f t="shared" ref="K107:N107" si="127">K103/G103-1</f>
        <v>-1</v>
      </c>
      <c r="L107" s="26">
        <f t="shared" si="127"/>
        <v>-1</v>
      </c>
      <c r="M107" s="26">
        <f t="shared" si="127"/>
        <v>-1</v>
      </c>
      <c r="N107" s="26">
        <f t="shared" si="127"/>
        <v>-1</v>
      </c>
      <c r="U107" s="26">
        <f>U103/T103-1</f>
        <v>-0.59387624701129449</v>
      </c>
      <c r="V107" s="26">
        <f t="shared" ref="V107" si="128">V103/U103-1</f>
        <v>5.6419671631943453</v>
      </c>
    </row>
    <row r="108" spans="2:22" s="26" customFormat="1" x14ac:dyDescent="0.25">
      <c r="B108" s="26" t="s">
        <v>131</v>
      </c>
      <c r="G108" s="26">
        <f t="shared" ref="G108" si="129">G105/C105-1</f>
        <v>-3.4950579737692449</v>
      </c>
      <c r="H108" s="26">
        <f t="shared" ref="H108" si="130">H105/D105-1</f>
        <v>-9.2108192341941368</v>
      </c>
      <c r="I108" s="26">
        <f t="shared" ref="I108" si="131">I105/E105-1</f>
        <v>-10.250952528060955</v>
      </c>
      <c r="J108" s="26">
        <f>J105/F105-1</f>
        <v>-8.5201973481344595</v>
      </c>
      <c r="K108" s="26">
        <f t="shared" ref="K108:N108" si="132">K105/G105-1</f>
        <v>-1</v>
      </c>
      <c r="L108" s="26">
        <f t="shared" si="132"/>
        <v>-1</v>
      </c>
      <c r="M108" s="26">
        <f t="shared" si="132"/>
        <v>-1</v>
      </c>
      <c r="N108" s="26">
        <f t="shared" si="132"/>
        <v>-1</v>
      </c>
      <c r="U108" s="26">
        <f>U105/T105-1</f>
        <v>2.4060664685966957</v>
      </c>
      <c r="V108" s="26">
        <f t="shared" ref="V108" si="133">V105/U105-1</f>
        <v>-6.3095585848750382</v>
      </c>
    </row>
    <row r="112" spans="2:22" s="25" customFormat="1" x14ac:dyDescent="0.25">
      <c r="B112" s="25" t="s">
        <v>132</v>
      </c>
      <c r="C112" s="25">
        <f t="shared" ref="C112" si="134">C113+C117</f>
        <v>21.2</v>
      </c>
      <c r="D112" s="25">
        <f t="shared" ref="D112" si="135">D113+D117</f>
        <v>21</v>
      </c>
      <c r="E112" s="25">
        <f t="shared" ref="E112:I112" si="136">E113+E117</f>
        <v>22.5</v>
      </c>
      <c r="F112" s="25">
        <f t="shared" si="136"/>
        <v>22.3</v>
      </c>
      <c r="G112" s="25">
        <f t="shared" si="136"/>
        <v>17.100000000000001</v>
      </c>
      <c r="H112" s="25">
        <f t="shared" si="136"/>
        <v>21.6</v>
      </c>
      <c r="I112" s="25">
        <f t="shared" si="136"/>
        <v>24.2</v>
      </c>
      <c r="J112" s="25">
        <f>J113+J117</f>
        <v>30.6</v>
      </c>
      <c r="K112" s="25">
        <f t="shared" ref="K112:N112" si="137">K113+K117</f>
        <v>0</v>
      </c>
      <c r="L112" s="25">
        <f t="shared" si="137"/>
        <v>0</v>
      </c>
      <c r="M112" s="25">
        <f t="shared" si="137"/>
        <v>0</v>
      </c>
      <c r="N112" s="25">
        <f t="shared" si="137"/>
        <v>0</v>
      </c>
    </row>
    <row r="113" spans="2:14" x14ac:dyDescent="0.25">
      <c r="B113" s="1" t="s">
        <v>133</v>
      </c>
      <c r="C113" s="1">
        <f t="shared" ref="C113" si="138">+C114+C115+C116</f>
        <v>8.6999999999999993</v>
      </c>
      <c r="D113" s="1">
        <f t="shared" ref="D113" si="139">+D114+D115+D116</f>
        <v>8.4</v>
      </c>
      <c r="E113" s="1">
        <f t="shared" ref="E113:I113" si="140">+E114+E115+E116</f>
        <v>8.4</v>
      </c>
      <c r="F113" s="1">
        <f t="shared" si="140"/>
        <v>8.5</v>
      </c>
      <c r="G113" s="1">
        <f t="shared" si="140"/>
        <v>8.6</v>
      </c>
      <c r="H113" s="1">
        <f t="shared" si="140"/>
        <v>8.9</v>
      </c>
      <c r="I113" s="1">
        <f t="shared" si="140"/>
        <v>12.1</v>
      </c>
      <c r="J113" s="1">
        <f>+J114+J115+J116</f>
        <v>16.7</v>
      </c>
      <c r="K113" s="1">
        <f t="shared" ref="K113:N113" si="141">+K114+K115+K116</f>
        <v>0</v>
      </c>
      <c r="L113" s="1">
        <f t="shared" si="141"/>
        <v>0</v>
      </c>
      <c r="M113" s="1">
        <f t="shared" si="141"/>
        <v>0</v>
      </c>
      <c r="N113" s="1">
        <f t="shared" si="141"/>
        <v>0</v>
      </c>
    </row>
    <row r="114" spans="2:14" x14ac:dyDescent="0.25">
      <c r="B114" s="1" t="s">
        <v>134</v>
      </c>
      <c r="C114" s="1">
        <v>7.2</v>
      </c>
      <c r="D114" s="1">
        <v>6.7</v>
      </c>
      <c r="E114" s="1">
        <v>6.7</v>
      </c>
      <c r="F114" s="1">
        <v>7.3</v>
      </c>
      <c r="G114" s="1">
        <v>8.1</v>
      </c>
      <c r="H114" s="1">
        <v>8.5</v>
      </c>
      <c r="I114" s="1">
        <v>11.5</v>
      </c>
      <c r="J114" s="1">
        <v>16.5</v>
      </c>
    </row>
    <row r="115" spans="2:14" x14ac:dyDescent="0.25">
      <c r="B115" s="1" t="s">
        <v>135</v>
      </c>
      <c r="C115" s="1">
        <v>1.5</v>
      </c>
      <c r="D115" s="1">
        <v>1.7</v>
      </c>
      <c r="E115" s="1">
        <v>1.7</v>
      </c>
      <c r="F115" s="1">
        <v>1.2</v>
      </c>
      <c r="G115" s="1">
        <v>0.5</v>
      </c>
      <c r="J115" s="1">
        <v>0</v>
      </c>
    </row>
    <row r="116" spans="2:14" x14ac:dyDescent="0.25">
      <c r="B116" s="1" t="s">
        <v>136</v>
      </c>
      <c r="H116" s="1">
        <v>0.4</v>
      </c>
      <c r="I116" s="1">
        <v>0.6</v>
      </c>
      <c r="J116" s="1">
        <v>0.2</v>
      </c>
    </row>
    <row r="117" spans="2:14" x14ac:dyDescent="0.25">
      <c r="B117" s="1" t="s">
        <v>137</v>
      </c>
      <c r="C117" s="1">
        <v>12.5</v>
      </c>
      <c r="D117" s="1">
        <v>12.6</v>
      </c>
      <c r="E117" s="1">
        <v>14.1</v>
      </c>
      <c r="F117" s="1">
        <v>13.8</v>
      </c>
      <c r="G117" s="1">
        <v>8.5</v>
      </c>
      <c r="H117" s="1">
        <v>12.7</v>
      </c>
      <c r="I117" s="1">
        <v>12.1</v>
      </c>
      <c r="J117" s="1">
        <v>13.9</v>
      </c>
    </row>
    <row r="118" spans="2:14" s="6" customFormat="1" x14ac:dyDescent="0.25">
      <c r="B118" s="6" t="s">
        <v>138</v>
      </c>
      <c r="C118" s="6">
        <f t="shared" ref="C118" si="142">+C119+C120</f>
        <v>221000</v>
      </c>
      <c r="D118" s="6">
        <f t="shared" ref="D118" si="143">+D119+D120</f>
        <v>215000</v>
      </c>
      <c r="E118" s="6">
        <f t="shared" ref="E118:I118" si="144">+E119+E120</f>
        <v>226000</v>
      </c>
      <c r="F118" s="6">
        <f t="shared" si="144"/>
        <v>223000</v>
      </c>
      <c r="G118" s="6">
        <f t="shared" si="144"/>
        <v>165000</v>
      </c>
      <c r="H118" s="6">
        <f t="shared" si="144"/>
        <v>175000</v>
      </c>
      <c r="I118" s="6">
        <f t="shared" si="144"/>
        <v>175000</v>
      </c>
      <c r="J118" s="6">
        <f>+J119+J120</f>
        <v>200000</v>
      </c>
      <c r="K118" s="6">
        <f t="shared" ref="K118:N118" si="145">+K119+K120</f>
        <v>0</v>
      </c>
      <c r="L118" s="6">
        <f t="shared" si="145"/>
        <v>0</v>
      </c>
      <c r="M118" s="6">
        <f t="shared" si="145"/>
        <v>0</v>
      </c>
      <c r="N118" s="6">
        <f t="shared" si="145"/>
        <v>0</v>
      </c>
    </row>
    <row r="119" spans="2:14" s="5" customFormat="1" x14ac:dyDescent="0.25">
      <c r="B119" s="5" t="s">
        <v>139</v>
      </c>
      <c r="C119" s="5">
        <v>92000</v>
      </c>
      <c r="D119" s="5">
        <v>86000</v>
      </c>
      <c r="E119" s="5">
        <v>86000</v>
      </c>
      <c r="F119" s="5">
        <v>86000</v>
      </c>
      <c r="G119" s="5">
        <v>87000</v>
      </c>
      <c r="H119" s="5">
        <v>85000</v>
      </c>
      <c r="I119" s="5">
        <v>97000</v>
      </c>
      <c r="J119" s="5">
        <v>114000</v>
      </c>
    </row>
    <row r="120" spans="2:14" s="5" customFormat="1" x14ac:dyDescent="0.25">
      <c r="B120" s="5" t="s">
        <v>140</v>
      </c>
      <c r="C120" s="5">
        <v>129000</v>
      </c>
      <c r="D120" s="5">
        <v>129000</v>
      </c>
      <c r="E120" s="5">
        <v>140000</v>
      </c>
      <c r="F120" s="5">
        <v>137000</v>
      </c>
      <c r="G120" s="5">
        <v>78000</v>
      </c>
      <c r="H120" s="5">
        <v>90000</v>
      </c>
      <c r="I120" s="5">
        <v>78000</v>
      </c>
      <c r="J120" s="5">
        <v>86000</v>
      </c>
    </row>
    <row r="121" spans="2:14" s="6" customFormat="1" x14ac:dyDescent="0.25">
      <c r="B121" s="6" t="s">
        <v>141</v>
      </c>
      <c r="C121" s="6">
        <v>511</v>
      </c>
      <c r="D121" s="6">
        <v>1299</v>
      </c>
      <c r="E121" s="6">
        <v>911</v>
      </c>
      <c r="F121" s="6">
        <v>628</v>
      </c>
      <c r="G121" s="6">
        <v>511</v>
      </c>
      <c r="H121" s="6">
        <v>469</v>
      </c>
      <c r="I121" s="6">
        <v>350</v>
      </c>
      <c r="J121" s="6">
        <v>565</v>
      </c>
    </row>
    <row r="122" spans="2:14" s="6" customFormat="1" x14ac:dyDescent="0.25">
      <c r="B122" s="6" t="s">
        <v>142</v>
      </c>
      <c r="D122" s="6">
        <v>43</v>
      </c>
      <c r="E122" s="6">
        <v>58</v>
      </c>
      <c r="F122" s="6">
        <v>113</v>
      </c>
      <c r="H122" s="6">
        <v>594</v>
      </c>
      <c r="I122" s="6">
        <v>1156</v>
      </c>
      <c r="J122" s="6">
        <v>1502</v>
      </c>
    </row>
    <row r="123" spans="2:14" s="6" customFormat="1" x14ac:dyDescent="0.25">
      <c r="B123" s="6" t="s">
        <v>143</v>
      </c>
      <c r="C123" s="6">
        <v>1209000</v>
      </c>
      <c r="D123" s="6">
        <v>1336000</v>
      </c>
      <c r="E123" s="6">
        <v>1361000</v>
      </c>
      <c r="F123" s="6">
        <v>1192000</v>
      </c>
      <c r="G123" s="6">
        <v>828000</v>
      </c>
      <c r="H123" s="6">
        <v>857000</v>
      </c>
      <c r="I123" s="6">
        <v>881000</v>
      </c>
      <c r="J123" s="6">
        <v>1180000</v>
      </c>
    </row>
    <row r="124" spans="2:14" s="3" customFormat="1" x14ac:dyDescent="0.25">
      <c r="B124" s="3" t="s">
        <v>144</v>
      </c>
      <c r="C124" s="3">
        <v>32</v>
      </c>
      <c r="D124" s="3">
        <v>44</v>
      </c>
      <c r="E124" s="3">
        <v>43</v>
      </c>
      <c r="F124" s="3">
        <v>43</v>
      </c>
      <c r="G124" s="3">
        <v>41</v>
      </c>
      <c r="H124" s="3">
        <v>41</v>
      </c>
      <c r="I124" s="3">
        <v>48</v>
      </c>
      <c r="J124" s="3">
        <v>43</v>
      </c>
    </row>
    <row r="125" spans="2:14" s="25" customFormat="1" x14ac:dyDescent="0.25">
      <c r="B125" s="25" t="s">
        <v>145</v>
      </c>
      <c r="C125" s="25">
        <v>32.4</v>
      </c>
      <c r="D125" s="25">
        <v>31.7</v>
      </c>
      <c r="E125" s="25">
        <v>31.7</v>
      </c>
      <c r="F125" s="25">
        <v>31.6</v>
      </c>
      <c r="G125" s="25">
        <v>31.4</v>
      </c>
      <c r="H125" s="25">
        <v>30.4</v>
      </c>
      <c r="I125" s="25">
        <v>29</v>
      </c>
      <c r="J125" s="25">
        <v>25.7</v>
      </c>
    </row>
  </sheetData>
  <phoneticPr fontId="6" type="noConversion"/>
  <hyperlinks>
    <hyperlink ref="A1" location="Main!A1" display="Main" xr:uid="{B3B6D735-5F2D-493B-82A0-A05619FDC57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D1C8-D9FE-4C85-A8F1-B33E33B9AE6D}">
  <dimension ref="B1:N35"/>
  <sheetViews>
    <sheetView topLeftCell="A2" zoomScale="97" zoomScaleNormal="100" workbookViewId="0">
      <selection activeCell="P7" sqref="P7"/>
    </sheetView>
  </sheetViews>
  <sheetFormatPr defaultRowHeight="13.2" x14ac:dyDescent="0.25"/>
  <cols>
    <col min="1" max="1" width="8.88671875" style="1"/>
    <col min="2" max="2" width="27.6640625" style="1" bestFit="1" customWidth="1"/>
    <col min="3" max="3" width="13.5546875" style="1" bestFit="1" customWidth="1"/>
    <col min="4" max="4" width="10.21875" style="1" bestFit="1" customWidth="1"/>
    <col min="5" max="5" width="10.44140625" style="1" bestFit="1" customWidth="1"/>
    <col min="6" max="6" width="9.5546875" style="1" customWidth="1"/>
    <col min="7" max="16384" width="8.88671875" style="1"/>
  </cols>
  <sheetData>
    <row r="1" spans="2:14" ht="13.8" thickBot="1" x14ac:dyDescent="0.3">
      <c r="B1" s="1" t="s">
        <v>7</v>
      </c>
    </row>
    <row r="2" spans="2:14" ht="15" thickBot="1" x14ac:dyDescent="0.35">
      <c r="B2" s="7" t="s">
        <v>21</v>
      </c>
      <c r="C2" s="8" t="s">
        <v>22</v>
      </c>
      <c r="D2" s="9" t="s">
        <v>23</v>
      </c>
      <c r="E2" s="10" t="s">
        <v>24</v>
      </c>
      <c r="F2" s="12"/>
      <c r="N2" s="2" t="s">
        <v>193</v>
      </c>
    </row>
    <row r="3" spans="2:14" ht="14.4" x14ac:dyDescent="0.3">
      <c r="B3" s="11" t="s">
        <v>25</v>
      </c>
      <c r="D3" s="12"/>
      <c r="E3" s="13"/>
      <c r="F3" s="12"/>
      <c r="N3" s="2" t="s">
        <v>194</v>
      </c>
    </row>
    <row r="4" spans="2:14" x14ac:dyDescent="0.25">
      <c r="B4" s="14" t="s">
        <v>27</v>
      </c>
      <c r="C4" s="5">
        <v>563</v>
      </c>
      <c r="D4" s="12" t="s">
        <v>41</v>
      </c>
      <c r="E4" s="13" t="s">
        <v>43</v>
      </c>
      <c r="F4" s="12"/>
    </row>
    <row r="5" spans="2:14" x14ac:dyDescent="0.25">
      <c r="B5" s="14" t="s">
        <v>26</v>
      </c>
      <c r="C5" s="5">
        <v>86</v>
      </c>
      <c r="D5" s="12" t="s">
        <v>41</v>
      </c>
      <c r="E5" s="13" t="s">
        <v>43</v>
      </c>
      <c r="F5" s="12"/>
    </row>
    <row r="6" spans="2:14" ht="14.4" x14ac:dyDescent="0.3">
      <c r="B6" s="14" t="s">
        <v>28</v>
      </c>
      <c r="C6" s="5">
        <v>13</v>
      </c>
      <c r="D6" s="12" t="s">
        <v>41</v>
      </c>
      <c r="E6" s="13" t="s">
        <v>43</v>
      </c>
      <c r="F6" s="12"/>
      <c r="L6"/>
    </row>
    <row r="7" spans="2:14" x14ac:dyDescent="0.25">
      <c r="B7" s="14" t="s">
        <v>29</v>
      </c>
      <c r="C7" s="5">
        <v>84</v>
      </c>
      <c r="D7" s="12" t="s">
        <v>41</v>
      </c>
      <c r="E7" s="13" t="s">
        <v>43</v>
      </c>
      <c r="F7" s="12"/>
    </row>
    <row r="8" spans="2:14" ht="14.4" x14ac:dyDescent="0.3">
      <c r="B8" s="14" t="s">
        <v>30</v>
      </c>
      <c r="C8" s="5">
        <v>176</v>
      </c>
      <c r="D8" s="12" t="s">
        <v>41</v>
      </c>
      <c r="E8" s="13" t="s">
        <v>43</v>
      </c>
      <c r="F8" s="12"/>
      <c r="L8"/>
    </row>
    <row r="9" spans="2:14" ht="14.4" x14ac:dyDescent="0.3">
      <c r="B9" s="14" t="s">
        <v>31</v>
      </c>
      <c r="C9" s="5">
        <v>100</v>
      </c>
      <c r="D9" s="12" t="s">
        <v>41</v>
      </c>
      <c r="E9" s="13" t="s">
        <v>43</v>
      </c>
      <c r="F9" s="12"/>
      <c r="H9"/>
    </row>
    <row r="10" spans="2:14" ht="13.8" thickBot="1" x14ac:dyDescent="0.3">
      <c r="B10" s="14" t="s">
        <v>32</v>
      </c>
      <c r="C10" s="5">
        <v>235</v>
      </c>
      <c r="D10" s="12" t="s">
        <v>41</v>
      </c>
      <c r="E10" s="13" t="s">
        <v>43</v>
      </c>
      <c r="F10" s="12"/>
    </row>
    <row r="11" spans="2:14" ht="13.8" thickBot="1" x14ac:dyDescent="0.3">
      <c r="B11" s="19" t="s">
        <v>33</v>
      </c>
      <c r="C11" s="20">
        <f>SUM(C4:C10)</f>
        <v>1257</v>
      </c>
      <c r="D11" s="9"/>
      <c r="E11" s="10"/>
      <c r="F11" s="12"/>
    </row>
    <row r="12" spans="2:14" x14ac:dyDescent="0.25">
      <c r="B12" s="11" t="s">
        <v>34</v>
      </c>
      <c r="C12" s="5"/>
      <c r="D12" s="12"/>
      <c r="E12" s="13"/>
      <c r="F12" s="12"/>
    </row>
    <row r="13" spans="2:14" x14ac:dyDescent="0.25">
      <c r="B13" s="14" t="s">
        <v>30</v>
      </c>
      <c r="C13" s="5">
        <v>49</v>
      </c>
      <c r="D13" s="12" t="s">
        <v>42</v>
      </c>
      <c r="E13" s="13" t="s">
        <v>15</v>
      </c>
      <c r="F13" s="12"/>
    </row>
    <row r="14" spans="2:14" x14ac:dyDescent="0.25">
      <c r="B14" s="14" t="s">
        <v>35</v>
      </c>
      <c r="C14" s="5">
        <v>221</v>
      </c>
      <c r="D14" s="12" t="s">
        <v>42</v>
      </c>
      <c r="E14" s="13" t="s">
        <v>17</v>
      </c>
      <c r="F14" s="12"/>
    </row>
    <row r="15" spans="2:14" x14ac:dyDescent="0.25">
      <c r="B15" s="14" t="s">
        <v>36</v>
      </c>
      <c r="C15" s="5">
        <v>570</v>
      </c>
      <c r="D15" s="12" t="s">
        <v>42</v>
      </c>
      <c r="E15" s="13" t="s">
        <v>44</v>
      </c>
      <c r="F15" s="12"/>
    </row>
    <row r="16" spans="2:14" ht="14.4" x14ac:dyDescent="0.3">
      <c r="B16" s="14" t="s">
        <v>32</v>
      </c>
      <c r="C16" s="5">
        <v>265</v>
      </c>
      <c r="D16" s="12" t="s">
        <v>42</v>
      </c>
      <c r="E16" s="13" t="s">
        <v>15</v>
      </c>
      <c r="F16" s="12"/>
      <c r="N16"/>
    </row>
    <row r="17" spans="2:14" ht="14.4" x14ac:dyDescent="0.3">
      <c r="B17" s="14" t="s">
        <v>27</v>
      </c>
      <c r="C17" s="5">
        <v>179</v>
      </c>
      <c r="D17" s="12" t="s">
        <v>42</v>
      </c>
      <c r="E17" s="13" t="s">
        <v>45</v>
      </c>
      <c r="F17" s="12"/>
      <c r="L17"/>
    </row>
    <row r="18" spans="2:14" x14ac:dyDescent="0.25">
      <c r="B18" s="14" t="s">
        <v>37</v>
      </c>
      <c r="C18" s="5">
        <v>99</v>
      </c>
      <c r="D18" s="12" t="s">
        <v>42</v>
      </c>
      <c r="E18" s="13" t="s">
        <v>20</v>
      </c>
      <c r="F18" s="12"/>
    </row>
    <row r="19" spans="2:14" ht="13.8" thickBot="1" x14ac:dyDescent="0.3">
      <c r="B19" s="21" t="s">
        <v>38</v>
      </c>
      <c r="C19" s="22">
        <v>50</v>
      </c>
      <c r="D19" s="17" t="s">
        <v>42</v>
      </c>
      <c r="E19" s="18" t="s">
        <v>16</v>
      </c>
      <c r="F19" s="12"/>
    </row>
    <row r="20" spans="2:14" ht="13.8" thickBot="1" x14ac:dyDescent="0.3">
      <c r="B20" s="15" t="s">
        <v>39</v>
      </c>
      <c r="C20" s="16">
        <f>SUM(C13:C19)</f>
        <v>1433</v>
      </c>
      <c r="D20" s="17"/>
      <c r="E20" s="18"/>
      <c r="F20" s="12"/>
    </row>
    <row r="21" spans="2:14" ht="13.8" thickBot="1" x14ac:dyDescent="0.3">
      <c r="B21" s="15" t="s">
        <v>40</v>
      </c>
      <c r="C21" s="16">
        <f>C11+C20</f>
        <v>2690</v>
      </c>
      <c r="D21" s="17"/>
      <c r="E21" s="18"/>
      <c r="F21" s="12"/>
    </row>
    <row r="23" spans="2:14" ht="14.4" x14ac:dyDescent="0.3">
      <c r="N23"/>
    </row>
    <row r="25" spans="2:14" ht="14.4" x14ac:dyDescent="0.3">
      <c r="I25"/>
    </row>
    <row r="35" spans="12:12" ht="14.4" x14ac:dyDescent="0.3">
      <c r="L35"/>
    </row>
  </sheetData>
  <hyperlinks>
    <hyperlink ref="N2" r:id="rId1" xr:uid="{BA527067-67DB-4EEE-AD1F-02F65ADE69A2}"/>
    <hyperlink ref="N3" r:id="rId2" xr:uid="{CD63900D-1547-4F68-AB67-CA412EEB28A5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80EB-B54C-4189-9B2D-BC7116650C2B}">
  <dimension ref="B2:K7"/>
  <sheetViews>
    <sheetView workbookViewId="0">
      <selection activeCell="J7" sqref="J7"/>
    </sheetView>
  </sheetViews>
  <sheetFormatPr defaultRowHeight="13.2" x14ac:dyDescent="0.25"/>
  <cols>
    <col min="1" max="2" width="8.88671875" style="1"/>
    <col min="3" max="3" width="11.33203125" style="1" customWidth="1"/>
    <col min="4" max="4" width="8.88671875" style="1"/>
    <col min="5" max="5" width="16.77734375" style="1" customWidth="1"/>
    <col min="6" max="6" width="19.21875" style="1" customWidth="1"/>
    <col min="7" max="8" width="8.88671875" style="1"/>
    <col min="9" max="9" width="17.88671875" style="1" customWidth="1"/>
    <col min="10" max="10" width="41.109375" style="1" customWidth="1"/>
    <col min="11" max="11" width="49.6640625" style="1" customWidth="1"/>
    <col min="12" max="16384" width="8.88671875" style="1"/>
  </cols>
  <sheetData>
    <row r="2" spans="2:11" ht="13.8" thickBot="1" x14ac:dyDescent="0.3"/>
    <row r="3" spans="2:11" ht="43.8" thickBot="1" x14ac:dyDescent="0.3">
      <c r="B3" s="33" t="s">
        <v>152</v>
      </c>
      <c r="C3" s="34" t="s">
        <v>153</v>
      </c>
      <c r="D3" s="34" t="s">
        <v>154</v>
      </c>
      <c r="E3" s="34" t="s">
        <v>155</v>
      </c>
      <c r="F3" s="35" t="s">
        <v>156</v>
      </c>
      <c r="I3" s="33" t="s">
        <v>181</v>
      </c>
      <c r="J3" s="34" t="s">
        <v>182</v>
      </c>
      <c r="K3" s="35" t="s">
        <v>183</v>
      </c>
    </row>
    <row r="4" spans="2:11" ht="72" x14ac:dyDescent="0.25">
      <c r="B4" s="27" t="s">
        <v>157</v>
      </c>
      <c r="C4" s="28" t="s">
        <v>158</v>
      </c>
      <c r="D4" s="28" t="s">
        <v>159</v>
      </c>
      <c r="E4" s="28" t="s">
        <v>160</v>
      </c>
      <c r="F4" s="29" t="s">
        <v>161</v>
      </c>
      <c r="I4" s="36" t="s">
        <v>184</v>
      </c>
      <c r="J4" s="28" t="s">
        <v>185</v>
      </c>
      <c r="K4" s="29" t="s">
        <v>186</v>
      </c>
    </row>
    <row r="5" spans="2:11" ht="43.2" x14ac:dyDescent="0.25">
      <c r="B5" s="27" t="s">
        <v>162</v>
      </c>
      <c r="C5" s="28" t="s">
        <v>161</v>
      </c>
      <c r="D5" s="28" t="s">
        <v>163</v>
      </c>
      <c r="E5" s="28" t="s">
        <v>164</v>
      </c>
      <c r="F5" s="29" t="s">
        <v>165</v>
      </c>
      <c r="I5" s="36" t="s">
        <v>187</v>
      </c>
      <c r="J5" s="28" t="s">
        <v>188</v>
      </c>
      <c r="K5" s="29" t="s">
        <v>189</v>
      </c>
    </row>
    <row r="6" spans="2:11" ht="43.8" thickBot="1" x14ac:dyDescent="0.3">
      <c r="B6" s="27" t="s">
        <v>166</v>
      </c>
      <c r="C6" s="28" t="s">
        <v>165</v>
      </c>
      <c r="D6" s="28" t="s">
        <v>167</v>
      </c>
      <c r="E6" s="28" t="s">
        <v>168</v>
      </c>
      <c r="F6" s="29" t="s">
        <v>169</v>
      </c>
      <c r="I6" s="37" t="s">
        <v>190</v>
      </c>
      <c r="J6" s="31" t="s">
        <v>191</v>
      </c>
      <c r="K6" s="32" t="s">
        <v>192</v>
      </c>
    </row>
    <row r="7" spans="2:11" ht="29.4" thickBot="1" x14ac:dyDescent="0.3">
      <c r="B7" s="30" t="s">
        <v>170</v>
      </c>
      <c r="C7" s="31" t="s">
        <v>171</v>
      </c>
      <c r="D7" s="31" t="s">
        <v>172</v>
      </c>
      <c r="E7" s="31" t="s">
        <v>173</v>
      </c>
      <c r="F7" s="32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Data Centers</vt:lpstr>
      <vt:lpstr>Product 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2025-10-13T18:15:37Z</dcterms:modified>
</cp:coreProperties>
</file>