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9C58C06A-53B2-45F1-A987-A836D6739DD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in" sheetId="1" r:id="rId1"/>
    <sheet name="Model" sheetId="2" r:id="rId2"/>
    <sheet name="Acquisitions" sheetId="3" r:id="rId3"/>
    <sheet name="Data Center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I91" i="2"/>
  <c r="H91" i="2"/>
  <c r="G91" i="2"/>
  <c r="F91" i="2"/>
  <c r="E91" i="2"/>
  <c r="D91" i="2"/>
  <c r="P91" i="2"/>
  <c r="O91" i="2"/>
  <c r="N91" i="2"/>
  <c r="M91" i="2"/>
  <c r="L91" i="2"/>
  <c r="K91" i="2"/>
  <c r="J91" i="2"/>
  <c r="I92" i="2"/>
  <c r="H92" i="2"/>
  <c r="G92" i="2"/>
  <c r="F92" i="2"/>
  <c r="E92" i="2"/>
  <c r="D92" i="2"/>
  <c r="I90" i="2"/>
  <c r="H90" i="2"/>
  <c r="G90" i="2"/>
  <c r="F90" i="2"/>
  <c r="E90" i="2"/>
  <c r="D90" i="2"/>
  <c r="P92" i="2"/>
  <c r="O92" i="2"/>
  <c r="N92" i="2"/>
  <c r="M92" i="2"/>
  <c r="L92" i="2"/>
  <c r="K92" i="2"/>
  <c r="P90" i="2"/>
  <c r="O90" i="2"/>
  <c r="N90" i="2"/>
  <c r="M90" i="2"/>
  <c r="L90" i="2"/>
  <c r="K90" i="2"/>
  <c r="J90" i="2"/>
  <c r="J92" i="2"/>
  <c r="W29" i="2"/>
  <c r="W27" i="2"/>
  <c r="W26" i="2"/>
  <c r="W25" i="2"/>
  <c r="W24" i="2"/>
  <c r="W21" i="2"/>
  <c r="W20" i="2"/>
  <c r="W19" i="2"/>
  <c r="W18" i="2"/>
  <c r="W17" i="2"/>
  <c r="W16" i="2"/>
  <c r="W15" i="2"/>
  <c r="W14" i="2"/>
  <c r="W13" i="2"/>
  <c r="W12" i="2"/>
  <c r="W9" i="2"/>
  <c r="W8" i="2"/>
  <c r="W7" i="2"/>
  <c r="W5" i="2"/>
  <c r="W4" i="2"/>
  <c r="W3" i="2"/>
  <c r="G152" i="2"/>
  <c r="G154" i="2" s="1"/>
  <c r="G70" i="2"/>
  <c r="G71" i="2" s="1"/>
  <c r="U210" i="2"/>
  <c r="V208" i="2"/>
  <c r="U208" i="2"/>
  <c r="V210" i="2" s="1"/>
  <c r="T208" i="2"/>
  <c r="V203" i="2"/>
  <c r="U203" i="2"/>
  <c r="T203" i="2"/>
  <c r="V198" i="2"/>
  <c r="U198" i="2"/>
  <c r="T198" i="2"/>
  <c r="V193" i="2"/>
  <c r="U193" i="2"/>
  <c r="T193" i="2"/>
  <c r="V161" i="2"/>
  <c r="V167" i="2" s="1"/>
  <c r="W161" i="2" s="1"/>
  <c r="W167" i="2" s="1"/>
  <c r="U166" i="2"/>
  <c r="V166" i="2"/>
  <c r="U167" i="2"/>
  <c r="I157" i="2"/>
  <c r="H157" i="2"/>
  <c r="L157" i="2"/>
  <c r="J157" i="2"/>
  <c r="L158" i="2"/>
  <c r="K158" i="2"/>
  <c r="I158" i="2"/>
  <c r="F158" i="2"/>
  <c r="E158" i="2"/>
  <c r="D158" i="2"/>
  <c r="J158" i="2"/>
  <c r="H152" i="2"/>
  <c r="V149" i="2"/>
  <c r="U149" i="2"/>
  <c r="U148" i="2"/>
  <c r="V148" i="2"/>
  <c r="V146" i="2"/>
  <c r="U146" i="2"/>
  <c r="T146" i="2"/>
  <c r="V145" i="2"/>
  <c r="U145" i="2"/>
  <c r="T145" i="2"/>
  <c r="W136" i="2"/>
  <c r="V142" i="2"/>
  <c r="V143" i="2" s="1"/>
  <c r="U142" i="2"/>
  <c r="U143" i="2" s="1"/>
  <c r="T142" i="2"/>
  <c r="T143" i="2" s="1"/>
  <c r="V137" i="2"/>
  <c r="U137" i="2"/>
  <c r="T137" i="2"/>
  <c r="V136" i="2"/>
  <c r="V138" i="2" s="1"/>
  <c r="U136" i="2"/>
  <c r="U138" i="2" s="1"/>
  <c r="T136" i="2"/>
  <c r="T138" i="2" s="1"/>
  <c r="V122" i="2"/>
  <c r="V123" i="2" s="1"/>
  <c r="V129" i="2"/>
  <c r="V131" i="2"/>
  <c r="U131" i="2"/>
  <c r="T123" i="2"/>
  <c r="U122" i="2"/>
  <c r="U123" i="2"/>
  <c r="V115" i="2"/>
  <c r="T107" i="2"/>
  <c r="V107" i="2"/>
  <c r="U107" i="2"/>
  <c r="U115" i="2" s="1"/>
  <c r="T112" i="2"/>
  <c r="T115" i="2" s="1"/>
  <c r="T131" i="2"/>
  <c r="V97" i="2"/>
  <c r="U97" i="2"/>
  <c r="T97" i="2"/>
  <c r="D85" i="2"/>
  <c r="D54" i="2"/>
  <c r="D59" i="2"/>
  <c r="D70" i="2"/>
  <c r="G54" i="2"/>
  <c r="U44" i="2"/>
  <c r="V44" i="2"/>
  <c r="W46" i="2"/>
  <c r="W45" i="2"/>
  <c r="V46" i="2"/>
  <c r="U46" i="2"/>
  <c r="U45" i="2"/>
  <c r="V45" i="2"/>
  <c r="V50" i="2"/>
  <c r="U50" i="2"/>
  <c r="T50" i="2"/>
  <c r="V49" i="2"/>
  <c r="U49" i="2"/>
  <c r="T49" i="2"/>
  <c r="V48" i="2"/>
  <c r="U48" i="2"/>
  <c r="T48" i="2"/>
  <c r="V42" i="2"/>
  <c r="U42" i="2"/>
  <c r="T42" i="2"/>
  <c r="V41" i="2"/>
  <c r="U41" i="2"/>
  <c r="T41" i="2"/>
  <c r="V40" i="2"/>
  <c r="U40" i="2"/>
  <c r="T40" i="2"/>
  <c r="V39" i="2"/>
  <c r="U39" i="2"/>
  <c r="T39" i="2"/>
  <c r="W37" i="2"/>
  <c r="V37" i="2"/>
  <c r="U37" i="2"/>
  <c r="T37" i="2"/>
  <c r="W36" i="2"/>
  <c r="V36" i="2"/>
  <c r="U36" i="2"/>
  <c r="T36" i="2"/>
  <c r="V35" i="2"/>
  <c r="U35" i="2"/>
  <c r="T35" i="2"/>
  <c r="T29" i="2"/>
  <c r="T21" i="2"/>
  <c r="T22" i="2"/>
  <c r="Y6" i="2"/>
  <c r="X6" i="2"/>
  <c r="W6" i="2"/>
  <c r="V6" i="2"/>
  <c r="U6" i="2"/>
  <c r="T6" i="2"/>
  <c r="Y11" i="2"/>
  <c r="Y23" i="2" s="1"/>
  <c r="Y28" i="2" s="1"/>
  <c r="Y30" i="2" s="1"/>
  <c r="Y32" i="2" s="1"/>
  <c r="Y22" i="2"/>
  <c r="X22" i="2"/>
  <c r="W22" i="2"/>
  <c r="V22" i="2"/>
  <c r="U22" i="2"/>
  <c r="Y10" i="2"/>
  <c r="X10" i="2"/>
  <c r="W10" i="2"/>
  <c r="V10" i="2"/>
  <c r="U10" i="2"/>
  <c r="T10" i="2"/>
  <c r="T11" i="2" s="1"/>
  <c r="X11" i="2"/>
  <c r="X23" i="2" s="1"/>
  <c r="X28" i="2" s="1"/>
  <c r="X30" i="2" s="1"/>
  <c r="X32" i="2" s="1"/>
  <c r="V11" i="2"/>
  <c r="U11" i="2"/>
  <c r="L154" i="2"/>
  <c r="K154" i="2"/>
  <c r="I154" i="2"/>
  <c r="H154" i="2"/>
  <c r="F154" i="2"/>
  <c r="J154" i="2"/>
  <c r="I152" i="2"/>
  <c r="P139" i="2"/>
  <c r="O139" i="2"/>
  <c r="N139" i="2"/>
  <c r="M139" i="2"/>
  <c r="I139" i="2"/>
  <c r="J139" i="2"/>
  <c r="P138" i="2"/>
  <c r="O138" i="2"/>
  <c r="N138" i="2"/>
  <c r="M138" i="2"/>
  <c r="L138" i="2"/>
  <c r="K138" i="2"/>
  <c r="P137" i="2"/>
  <c r="O137" i="2"/>
  <c r="N137" i="2"/>
  <c r="M137" i="2"/>
  <c r="L137" i="2"/>
  <c r="K137" i="2"/>
  <c r="I138" i="2"/>
  <c r="F138" i="2"/>
  <c r="E138" i="2"/>
  <c r="D138" i="2"/>
  <c r="C138" i="2"/>
  <c r="I137" i="2"/>
  <c r="F137" i="2"/>
  <c r="E137" i="2"/>
  <c r="D137" i="2"/>
  <c r="C137" i="2"/>
  <c r="J137" i="2"/>
  <c r="J138" i="2"/>
  <c r="I136" i="2"/>
  <c r="F136" i="2"/>
  <c r="E136" i="2"/>
  <c r="D136" i="2"/>
  <c r="C136" i="2"/>
  <c r="P136" i="2"/>
  <c r="O136" i="2"/>
  <c r="N136" i="2"/>
  <c r="M136" i="2"/>
  <c r="L136" i="2"/>
  <c r="K136" i="2"/>
  <c r="J136" i="2"/>
  <c r="D133" i="2"/>
  <c r="D134" i="2" s="1"/>
  <c r="E133" i="2" s="1"/>
  <c r="E134" i="2" s="1"/>
  <c r="F133" i="2" s="1"/>
  <c r="F134" i="2" s="1"/>
  <c r="G133" i="2" s="1"/>
  <c r="C134" i="2"/>
  <c r="P132" i="2"/>
  <c r="O132" i="2"/>
  <c r="N132" i="2"/>
  <c r="M132" i="2"/>
  <c r="L132" i="2"/>
  <c r="K132" i="2"/>
  <c r="I132" i="2"/>
  <c r="D132" i="2"/>
  <c r="C132" i="2"/>
  <c r="J46" i="2"/>
  <c r="J44" i="2"/>
  <c r="J45" i="2"/>
  <c r="I46" i="2"/>
  <c r="H46" i="2"/>
  <c r="G46" i="2"/>
  <c r="P46" i="2"/>
  <c r="O46" i="2"/>
  <c r="N46" i="2"/>
  <c r="M46" i="2"/>
  <c r="L46" i="2"/>
  <c r="K46" i="2"/>
  <c r="I45" i="2"/>
  <c r="H45" i="2"/>
  <c r="G45" i="2"/>
  <c r="P45" i="2"/>
  <c r="O45" i="2"/>
  <c r="N45" i="2"/>
  <c r="M45" i="2"/>
  <c r="L45" i="2"/>
  <c r="K45" i="2"/>
  <c r="I42" i="2"/>
  <c r="F42" i="2"/>
  <c r="E42" i="2"/>
  <c r="D42" i="2"/>
  <c r="C42" i="2"/>
  <c r="I41" i="2"/>
  <c r="F41" i="2"/>
  <c r="E41" i="2"/>
  <c r="D41" i="2"/>
  <c r="C41" i="2"/>
  <c r="I40" i="2"/>
  <c r="F40" i="2"/>
  <c r="E40" i="2"/>
  <c r="D40" i="2"/>
  <c r="C40" i="2"/>
  <c r="I39" i="2"/>
  <c r="F39" i="2"/>
  <c r="E39" i="2"/>
  <c r="D39" i="2"/>
  <c r="C39" i="2"/>
  <c r="P42" i="2"/>
  <c r="O42" i="2"/>
  <c r="N42" i="2"/>
  <c r="M42" i="2"/>
  <c r="L42" i="2"/>
  <c r="K42" i="2"/>
  <c r="P41" i="2"/>
  <c r="O41" i="2"/>
  <c r="N41" i="2"/>
  <c r="M41" i="2"/>
  <c r="L41" i="2"/>
  <c r="K41" i="2"/>
  <c r="P40" i="2"/>
  <c r="O40" i="2"/>
  <c r="N40" i="2"/>
  <c r="M40" i="2"/>
  <c r="L40" i="2"/>
  <c r="K40" i="2"/>
  <c r="P39" i="2"/>
  <c r="O39" i="2"/>
  <c r="N39" i="2"/>
  <c r="M39" i="2"/>
  <c r="L39" i="2"/>
  <c r="K39" i="2"/>
  <c r="J10" i="1"/>
  <c r="P54" i="2"/>
  <c r="O54" i="2"/>
  <c r="N54" i="2"/>
  <c r="M54" i="2"/>
  <c r="L54" i="2"/>
  <c r="K54" i="2"/>
  <c r="I54" i="2"/>
  <c r="H54" i="2"/>
  <c r="F54" i="2"/>
  <c r="E54" i="2"/>
  <c r="C54" i="2"/>
  <c r="J54" i="2"/>
  <c r="J11" i="1"/>
  <c r="W11" i="2" l="1"/>
  <c r="W50" i="2"/>
  <c r="W23" i="2"/>
  <c r="W35" i="2"/>
  <c r="W48" i="2"/>
  <c r="W49" i="2"/>
  <c r="W137" i="2"/>
  <c r="W44" i="2"/>
  <c r="W138" i="2"/>
  <c r="H158" i="2"/>
  <c r="G158" i="2"/>
  <c r="G157" i="2"/>
  <c r="K157" i="2"/>
  <c r="T132" i="2"/>
  <c r="T134" i="2" s="1"/>
  <c r="U133" i="2" s="1"/>
  <c r="U132" i="2"/>
  <c r="V132" i="2"/>
  <c r="T23" i="2"/>
  <c r="T28" i="2" s="1"/>
  <c r="T30" i="2" s="1"/>
  <c r="T32" i="2" s="1"/>
  <c r="U23" i="2"/>
  <c r="U28" i="2" s="1"/>
  <c r="U30" i="2" s="1"/>
  <c r="U32" i="2" s="1"/>
  <c r="V23" i="2"/>
  <c r="V28" i="2" s="1"/>
  <c r="V30" i="2" s="1"/>
  <c r="V32" i="2" s="1"/>
  <c r="J148" i="2"/>
  <c r="K187" i="2"/>
  <c r="I187" i="2"/>
  <c r="H187" i="2"/>
  <c r="G187" i="2"/>
  <c r="F187" i="2"/>
  <c r="E187" i="2"/>
  <c r="D187" i="2"/>
  <c r="C187" i="2"/>
  <c r="J187" i="2"/>
  <c r="I208" i="2"/>
  <c r="H208" i="2"/>
  <c r="G208" i="2"/>
  <c r="F208" i="2"/>
  <c r="J210" i="2" s="1"/>
  <c r="E208" i="2"/>
  <c r="I210" i="2" s="1"/>
  <c r="D208" i="2"/>
  <c r="C208" i="2"/>
  <c r="L208" i="2"/>
  <c r="K208" i="2"/>
  <c r="J208" i="2"/>
  <c r="I203" i="2"/>
  <c r="H203" i="2"/>
  <c r="G203" i="2"/>
  <c r="F203" i="2"/>
  <c r="E203" i="2"/>
  <c r="D203" i="2"/>
  <c r="C203" i="2"/>
  <c r="L203" i="2"/>
  <c r="K203" i="2"/>
  <c r="J203" i="2"/>
  <c r="L198" i="2"/>
  <c r="K198" i="2"/>
  <c r="J198" i="2"/>
  <c r="F198" i="2"/>
  <c r="E198" i="2"/>
  <c r="D198" i="2"/>
  <c r="C198" i="2"/>
  <c r="I198" i="2"/>
  <c r="H198" i="2"/>
  <c r="G198" i="2"/>
  <c r="I193" i="2"/>
  <c r="H193" i="2"/>
  <c r="G193" i="2"/>
  <c r="F193" i="2"/>
  <c r="E193" i="2"/>
  <c r="D193" i="2"/>
  <c r="C193" i="2"/>
  <c r="L193" i="2"/>
  <c r="K193" i="2"/>
  <c r="J193" i="2"/>
  <c r="I180" i="2"/>
  <c r="H180" i="2"/>
  <c r="G180" i="2"/>
  <c r="F180" i="2"/>
  <c r="E180" i="2"/>
  <c r="D180" i="2"/>
  <c r="C180" i="2"/>
  <c r="M180" i="2"/>
  <c r="L180" i="2"/>
  <c r="K180" i="2"/>
  <c r="J180" i="2"/>
  <c r="I167" i="2"/>
  <c r="G167" i="2"/>
  <c r="F167" i="2"/>
  <c r="E167" i="2"/>
  <c r="D167" i="2"/>
  <c r="C167" i="2"/>
  <c r="M167" i="2"/>
  <c r="L167" i="2"/>
  <c r="K167" i="2"/>
  <c r="J167" i="2"/>
  <c r="AB154" i="2"/>
  <c r="AA154" i="2"/>
  <c r="Z154" i="2"/>
  <c r="Y154" i="2"/>
  <c r="O36" i="3"/>
  <c r="O34" i="3"/>
  <c r="O18" i="3"/>
  <c r="O20" i="3" s="1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P85" i="2"/>
  <c r="P87" i="2" s="1"/>
  <c r="O85" i="2"/>
  <c r="O87" i="2" s="1"/>
  <c r="N85" i="2"/>
  <c r="N87" i="2" s="1"/>
  <c r="M85" i="2"/>
  <c r="M87" i="2" s="1"/>
  <c r="L85" i="2"/>
  <c r="L87" i="2" s="1"/>
  <c r="K85" i="2"/>
  <c r="K87" i="2" s="1"/>
  <c r="I85" i="2"/>
  <c r="I87" i="2" s="1"/>
  <c r="H85" i="2"/>
  <c r="H87" i="2" s="1"/>
  <c r="G85" i="2"/>
  <c r="G87" i="2" s="1"/>
  <c r="F85" i="2"/>
  <c r="F87" i="2" s="1"/>
  <c r="E85" i="2"/>
  <c r="E87" i="2" s="1"/>
  <c r="D87" i="2"/>
  <c r="C85" i="2"/>
  <c r="C87" i="2" s="1"/>
  <c r="J85" i="2"/>
  <c r="J87" i="2" s="1"/>
  <c r="I71" i="2"/>
  <c r="H71" i="2"/>
  <c r="F71" i="2"/>
  <c r="E71" i="2"/>
  <c r="D71" i="2"/>
  <c r="C71" i="2"/>
  <c r="P71" i="2"/>
  <c r="O71" i="2"/>
  <c r="N71" i="2"/>
  <c r="M71" i="2"/>
  <c r="L71" i="2"/>
  <c r="K71" i="2"/>
  <c r="J71" i="2"/>
  <c r="P44" i="2"/>
  <c r="O44" i="2"/>
  <c r="N44" i="2"/>
  <c r="M44" i="2"/>
  <c r="L44" i="2"/>
  <c r="K44" i="2"/>
  <c r="I44" i="2"/>
  <c r="H44" i="2"/>
  <c r="G44" i="2"/>
  <c r="P37" i="2"/>
  <c r="O37" i="2"/>
  <c r="N37" i="2"/>
  <c r="M37" i="2"/>
  <c r="L37" i="2"/>
  <c r="K37" i="2"/>
  <c r="P36" i="2"/>
  <c r="O36" i="2"/>
  <c r="N36" i="2"/>
  <c r="M36" i="2"/>
  <c r="L36" i="2"/>
  <c r="K36" i="2"/>
  <c r="I37" i="2"/>
  <c r="H37" i="2"/>
  <c r="G37" i="2"/>
  <c r="F37" i="2"/>
  <c r="E37" i="2"/>
  <c r="D37" i="2"/>
  <c r="C37" i="2"/>
  <c r="I36" i="2"/>
  <c r="H36" i="2"/>
  <c r="G36" i="2"/>
  <c r="F36" i="2"/>
  <c r="E36" i="2"/>
  <c r="D36" i="2"/>
  <c r="C36" i="2"/>
  <c r="J37" i="2"/>
  <c r="J36" i="2"/>
  <c r="I22" i="2"/>
  <c r="H22" i="2"/>
  <c r="G22" i="2"/>
  <c r="F22" i="2"/>
  <c r="E22" i="2"/>
  <c r="D22" i="2"/>
  <c r="C22" i="2"/>
  <c r="P22" i="2"/>
  <c r="O22" i="2"/>
  <c r="N22" i="2"/>
  <c r="M22" i="2"/>
  <c r="L22" i="2"/>
  <c r="K22" i="2"/>
  <c r="J21" i="2"/>
  <c r="J22" i="2" s="1"/>
  <c r="I10" i="2"/>
  <c r="H10" i="2"/>
  <c r="G10" i="2"/>
  <c r="F10" i="2"/>
  <c r="E10" i="2"/>
  <c r="D10" i="2"/>
  <c r="C10" i="2"/>
  <c r="P10" i="2"/>
  <c r="O10" i="2"/>
  <c r="N10" i="2"/>
  <c r="M10" i="2"/>
  <c r="L10" i="2"/>
  <c r="K10" i="2"/>
  <c r="J10" i="2"/>
  <c r="I6" i="2"/>
  <c r="I49" i="2" s="1"/>
  <c r="H6" i="2"/>
  <c r="G6" i="2"/>
  <c r="F6" i="2"/>
  <c r="F48" i="2" s="1"/>
  <c r="E6" i="2"/>
  <c r="E50" i="2" s="1"/>
  <c r="D6" i="2"/>
  <c r="D50" i="2" s="1"/>
  <c r="C6" i="2"/>
  <c r="C50" i="2" s="1"/>
  <c r="P6" i="2"/>
  <c r="P50" i="2" s="1"/>
  <c r="O6" i="2"/>
  <c r="N6" i="2"/>
  <c r="M6" i="2"/>
  <c r="M49" i="2" s="1"/>
  <c r="L6" i="2"/>
  <c r="L49" i="2" s="1"/>
  <c r="K6" i="2"/>
  <c r="K48" i="2" s="1"/>
  <c r="J6" i="2"/>
  <c r="J49" i="2" s="1"/>
  <c r="J9" i="1"/>
  <c r="J13" i="1" s="1"/>
  <c r="W28" i="2" l="1"/>
  <c r="W39" i="2"/>
  <c r="W40" i="2"/>
  <c r="G210" i="2"/>
  <c r="K210" i="2"/>
  <c r="H132" i="2"/>
  <c r="H136" i="2"/>
  <c r="H138" i="2" s="1"/>
  <c r="G132" i="2"/>
  <c r="G134" i="2" s="1"/>
  <c r="H133" i="2" s="1"/>
  <c r="G136" i="2"/>
  <c r="G138" i="2" s="1"/>
  <c r="H50" i="2"/>
  <c r="H137" i="2"/>
  <c r="G50" i="2"/>
  <c r="G137" i="2"/>
  <c r="H210" i="2"/>
  <c r="L210" i="2"/>
  <c r="U134" i="2"/>
  <c r="V133" i="2" s="1"/>
  <c r="V134" i="2" s="1"/>
  <c r="E132" i="2"/>
  <c r="F132" i="2"/>
  <c r="J132" i="2"/>
  <c r="K50" i="2"/>
  <c r="L50" i="2"/>
  <c r="K11" i="2"/>
  <c r="K35" i="2" s="1"/>
  <c r="E11" i="2"/>
  <c r="E35" i="2" s="1"/>
  <c r="L48" i="2"/>
  <c r="J50" i="2"/>
  <c r="M48" i="2"/>
  <c r="F50" i="2"/>
  <c r="P11" i="2"/>
  <c r="P35" i="2" s="1"/>
  <c r="I50" i="2"/>
  <c r="M50" i="2"/>
  <c r="F11" i="2"/>
  <c r="F35" i="2" s="1"/>
  <c r="F49" i="2"/>
  <c r="K49" i="2"/>
  <c r="N11" i="2"/>
  <c r="N35" i="2" s="1"/>
  <c r="L11" i="2"/>
  <c r="L35" i="2" s="1"/>
  <c r="J11" i="2"/>
  <c r="J35" i="2" s="1"/>
  <c r="O11" i="2"/>
  <c r="O35" i="2" s="1"/>
  <c r="M11" i="2"/>
  <c r="M35" i="2" s="1"/>
  <c r="C11" i="2"/>
  <c r="C35" i="2" s="1"/>
  <c r="D11" i="2"/>
  <c r="D35" i="2" s="1"/>
  <c r="D23" i="2"/>
  <c r="D28" i="2" s="1"/>
  <c r="D30" i="2" s="1"/>
  <c r="D142" i="2" s="1"/>
  <c r="N48" i="2"/>
  <c r="C48" i="2"/>
  <c r="N49" i="2"/>
  <c r="G11" i="2"/>
  <c r="G35" i="2" s="1"/>
  <c r="D48" i="2"/>
  <c r="C49" i="2"/>
  <c r="O49" i="2"/>
  <c r="H11" i="2"/>
  <c r="E48" i="2"/>
  <c r="D49" i="2"/>
  <c r="P49" i="2"/>
  <c r="N50" i="2"/>
  <c r="I11" i="2"/>
  <c r="E49" i="2"/>
  <c r="O50" i="2"/>
  <c r="O48" i="2"/>
  <c r="H48" i="2"/>
  <c r="G49" i="2"/>
  <c r="P48" i="2"/>
  <c r="G48" i="2"/>
  <c r="I48" i="2"/>
  <c r="H49" i="2"/>
  <c r="J48" i="2"/>
  <c r="C23" i="2"/>
  <c r="C28" i="2" s="1"/>
  <c r="C30" i="2" s="1"/>
  <c r="C142" i="2" s="1"/>
  <c r="W30" i="2" l="1"/>
  <c r="W41" i="2"/>
  <c r="H134" i="2"/>
  <c r="I133" i="2" s="1"/>
  <c r="I134" i="2" s="1"/>
  <c r="J133" i="2" s="1"/>
  <c r="J134" i="2" s="1"/>
  <c r="K133" i="2" s="1"/>
  <c r="K134" i="2" s="1"/>
  <c r="L133" i="2" s="1"/>
  <c r="L134" i="2" s="1"/>
  <c r="M133" i="2" s="1"/>
  <c r="M134" i="2" s="1"/>
  <c r="N133" i="2" s="1"/>
  <c r="N134" i="2" s="1"/>
  <c r="O133" i="2" s="1"/>
  <c r="O134" i="2" s="1"/>
  <c r="P133" i="2" s="1"/>
  <c r="P134" i="2" s="1"/>
  <c r="H139" i="2"/>
  <c r="L139" i="2"/>
  <c r="K139" i="2"/>
  <c r="G139" i="2"/>
  <c r="C143" i="2"/>
  <c r="C146" i="2" s="1"/>
  <c r="C145" i="2"/>
  <c r="D143" i="2"/>
  <c r="D146" i="2" s="1"/>
  <c r="D145" i="2"/>
  <c r="P23" i="2"/>
  <c r="P28" i="2" s="1"/>
  <c r="P30" i="2" s="1"/>
  <c r="P32" i="2" s="1"/>
  <c r="M23" i="2"/>
  <c r="M28" i="2" s="1"/>
  <c r="M30" i="2" s="1"/>
  <c r="M32" i="2" s="1"/>
  <c r="E23" i="2"/>
  <c r="E28" i="2" s="1"/>
  <c r="E30" i="2" s="1"/>
  <c r="E32" i="2" s="1"/>
  <c r="G23" i="2"/>
  <c r="F23" i="2"/>
  <c r="F28" i="2" s="1"/>
  <c r="F30" i="2" s="1"/>
  <c r="K23" i="2"/>
  <c r="K28" i="2" s="1"/>
  <c r="K30" i="2" s="1"/>
  <c r="D32" i="2"/>
  <c r="D97" i="2"/>
  <c r="C32" i="2"/>
  <c r="C97" i="2"/>
  <c r="J23" i="2"/>
  <c r="J28" i="2" s="1"/>
  <c r="L23" i="2"/>
  <c r="L28" i="2" s="1"/>
  <c r="L30" i="2" s="1"/>
  <c r="L142" i="2" s="1"/>
  <c r="O23" i="2"/>
  <c r="O28" i="2" s="1"/>
  <c r="O30" i="2" s="1"/>
  <c r="N23" i="2"/>
  <c r="N28" i="2" s="1"/>
  <c r="N30" i="2" s="1"/>
  <c r="I23" i="2"/>
  <c r="I28" i="2" s="1"/>
  <c r="I30" i="2" s="1"/>
  <c r="I142" i="2" s="1"/>
  <c r="I35" i="2"/>
  <c r="H23" i="2"/>
  <c r="H35" i="2"/>
  <c r="W32" i="2" l="1"/>
  <c r="W142" i="2"/>
  <c r="W42" i="2"/>
  <c r="H28" i="2"/>
  <c r="H39" i="2"/>
  <c r="H40" i="2"/>
  <c r="G28" i="2"/>
  <c r="G39" i="2"/>
  <c r="G40" i="2"/>
  <c r="I143" i="2"/>
  <c r="I145" i="2"/>
  <c r="L143" i="2"/>
  <c r="L146" i="2" s="1"/>
  <c r="L145" i="2"/>
  <c r="K32" i="2"/>
  <c r="K142" i="2"/>
  <c r="F32" i="2"/>
  <c r="F142" i="2"/>
  <c r="E97" i="2"/>
  <c r="E142" i="2"/>
  <c r="I148" i="2" s="1"/>
  <c r="P97" i="2"/>
  <c r="K97" i="2"/>
  <c r="J39" i="2"/>
  <c r="J40" i="2"/>
  <c r="M97" i="2"/>
  <c r="F97" i="2"/>
  <c r="I32" i="2"/>
  <c r="I97" i="2"/>
  <c r="N32" i="2"/>
  <c r="N97" i="2"/>
  <c r="L32" i="2"/>
  <c r="L97" i="2"/>
  <c r="O32" i="2"/>
  <c r="O97" i="2"/>
  <c r="J30" i="2"/>
  <c r="J41" i="2"/>
  <c r="W148" i="2" l="1"/>
  <c r="W143" i="2"/>
  <c r="W145" i="2"/>
  <c r="H30" i="2"/>
  <c r="H41" i="2"/>
  <c r="G30" i="2"/>
  <c r="G41" i="2"/>
  <c r="I146" i="2"/>
  <c r="F143" i="2"/>
  <c r="F146" i="2" s="1"/>
  <c r="F145" i="2"/>
  <c r="K143" i="2"/>
  <c r="K146" i="2" s="1"/>
  <c r="K145" i="2"/>
  <c r="E143" i="2"/>
  <c r="E146" i="2" s="1"/>
  <c r="E145" i="2"/>
  <c r="J97" i="2"/>
  <c r="J142" i="2"/>
  <c r="J32" i="2"/>
  <c r="J42" i="2"/>
  <c r="W149" i="2" l="1"/>
  <c r="W146" i="2"/>
  <c r="H142" i="2"/>
  <c r="H42" i="2"/>
  <c r="H97" i="2"/>
  <c r="H32" i="2"/>
  <c r="G42" i="2"/>
  <c r="G32" i="2"/>
  <c r="G142" i="2"/>
  <c r="G97" i="2"/>
  <c r="I149" i="2"/>
  <c r="J143" i="2"/>
  <c r="J145" i="2"/>
  <c r="H148" i="2" l="1"/>
  <c r="L148" i="2"/>
  <c r="H143" i="2"/>
  <c r="H145" i="2"/>
  <c r="K148" i="2"/>
  <c r="G148" i="2"/>
  <c r="G145" i="2"/>
  <c r="G143" i="2"/>
  <c r="J146" i="2"/>
  <c r="J149" i="2"/>
  <c r="H146" i="2" l="1"/>
  <c r="H149" i="2"/>
  <c r="L149" i="2"/>
  <c r="G146" i="2"/>
  <c r="G149" i="2"/>
  <c r="K1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T107" authorId="0" shapeId="0" xr:uid="{BCD9939C-A812-4BAD-BB44-F8F9D26ED9EC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Other/Casualty charges
+ Impairments
</t>
        </r>
      </text>
    </comment>
    <comment ref="V107" authorId="0" shapeId="0" xr:uid="{7D4BCBF7-C732-4F9A-9067-9101F94639BF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Other/Casualty charges
</t>
        </r>
      </text>
    </comment>
  </commentList>
</comments>
</file>

<file path=xl/sharedStrings.xml><?xml version="1.0" encoding="utf-8"?>
<sst xmlns="http://schemas.openxmlformats.org/spreadsheetml/2006/main" count="291" uniqueCount="231">
  <si>
    <t>P</t>
  </si>
  <si>
    <t>S/O</t>
  </si>
  <si>
    <t>MC</t>
  </si>
  <si>
    <t>C</t>
  </si>
  <si>
    <t>D</t>
  </si>
  <si>
    <t>EV</t>
  </si>
  <si>
    <t>Main</t>
  </si>
  <si>
    <t>Q225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</si>
  <si>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</si>
  <si>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</si>
  <si>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</si>
  <si>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</si>
  <si>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</si>
  <si>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</si>
  <si>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</si>
  <si>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</si>
  <si>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</si>
  <si>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Q126</t>
  </si>
  <si>
    <t>Q226</t>
  </si>
  <si>
    <t>Q326</t>
  </si>
  <si>
    <t>Q426</t>
  </si>
  <si>
    <t>Bitcoin mining</t>
  </si>
  <si>
    <t>Engineering</t>
  </si>
  <si>
    <t>Other</t>
  </si>
  <si>
    <t>Total revenue</t>
  </si>
  <si>
    <t>COGS</t>
  </si>
  <si>
    <t>Gross profit</t>
  </si>
  <si>
    <t>Acquisition costs</t>
  </si>
  <si>
    <t>SG&amp;A</t>
  </si>
  <si>
    <t>D&amp;A</t>
  </si>
  <si>
    <t>Bitcoin</t>
  </si>
  <si>
    <t>Bitcoin fair value adj</t>
  </si>
  <si>
    <t>Derivative fair value adj</t>
  </si>
  <si>
    <t>Power curtailment credits</t>
  </si>
  <si>
    <t>Contingent consideration fair value adj</t>
  </si>
  <si>
    <t>Contract settlement</t>
  </si>
  <si>
    <t>Sale of equipment</t>
  </si>
  <si>
    <t>OpEx</t>
  </si>
  <si>
    <t>OpInc</t>
  </si>
  <si>
    <t>Interest income</t>
  </si>
  <si>
    <t>Interest expense</t>
  </si>
  <si>
    <t>Gain on markt. Securities</t>
  </si>
  <si>
    <t>Pretax income</t>
  </si>
  <si>
    <t>Taxes</t>
  </si>
  <si>
    <t>Net Income</t>
  </si>
  <si>
    <t>EPS</t>
  </si>
  <si>
    <t>Gross Margin</t>
  </si>
  <si>
    <t>OpMargin</t>
  </si>
  <si>
    <t>Interest Margin</t>
  </si>
  <si>
    <t>Tax Margin</t>
  </si>
  <si>
    <t>Net Margin</t>
  </si>
  <si>
    <t>YoY Revenue</t>
  </si>
  <si>
    <t>Bitcoin %</t>
  </si>
  <si>
    <t>Eng. %</t>
  </si>
  <si>
    <t>Other %</t>
  </si>
  <si>
    <t>Cash</t>
  </si>
  <si>
    <t>Net Cash</t>
  </si>
  <si>
    <t>Restricted Cash</t>
  </si>
  <si>
    <t>A/R</t>
  </si>
  <si>
    <t>Contract assets</t>
  </si>
  <si>
    <t>Prepaids and OCA</t>
  </si>
  <si>
    <t>Derivative assets, C</t>
  </si>
  <si>
    <t>Marketable securities</t>
  </si>
  <si>
    <t>PP&amp;A</t>
  </si>
  <si>
    <t>Restricted bitcoin</t>
  </si>
  <si>
    <t>Deposits</t>
  </si>
  <si>
    <t>Finite-lived intangible assets</t>
  </si>
  <si>
    <t>Derivative assets, NC</t>
  </si>
  <si>
    <t>Operating lease ROU</t>
  </si>
  <si>
    <t>Goodwill</t>
  </si>
  <si>
    <t>ONCA</t>
  </si>
  <si>
    <t>Total assets</t>
  </si>
  <si>
    <t>A/P</t>
  </si>
  <si>
    <t>Contract liabilities</t>
  </si>
  <si>
    <t>Accured expenses</t>
  </si>
  <si>
    <t>Deferred gain on acquisition</t>
  </si>
  <si>
    <t>Deferred revenue, C</t>
  </si>
  <si>
    <t>Contingent consideration liabilities, C</t>
  </si>
  <si>
    <t>Debt, C</t>
  </si>
  <si>
    <t>Operating lease, C</t>
  </si>
  <si>
    <t>Deferred revenue, NC</t>
  </si>
  <si>
    <t>Operating lease, NC</t>
  </si>
  <si>
    <t>Contingent consideration liabilities, NC</t>
  </si>
  <si>
    <t>Debt, NC</t>
  </si>
  <si>
    <t>ONCL</t>
  </si>
  <si>
    <t>Total liabilities</t>
  </si>
  <si>
    <t>SE</t>
  </si>
  <si>
    <t>L+SE</t>
  </si>
  <si>
    <t>Model NI</t>
  </si>
  <si>
    <t>GAPP NI</t>
  </si>
  <si>
    <t>Stock-based comp.</t>
  </si>
  <si>
    <t>Amort of license fee revenue</t>
  </si>
  <si>
    <t>Noncash lease</t>
  </si>
  <si>
    <t>Amort of debt issuance cost</t>
  </si>
  <si>
    <t>Acquisition settlement</t>
  </si>
  <si>
    <t>Markt. Securities</t>
  </si>
  <si>
    <t>Revenue recognized from bitcoin</t>
  </si>
  <si>
    <t>Sales of bitcoin</t>
  </si>
  <si>
    <t>Assets chng</t>
  </si>
  <si>
    <t>Liabilities chng</t>
  </si>
  <si>
    <t>CFFO</t>
  </si>
  <si>
    <t>Acquisition of assets from Rhodium</t>
  </si>
  <si>
    <t>Deposits on equipment</t>
  </si>
  <si>
    <t>Security deposits</t>
  </si>
  <si>
    <t>Sales of mrkt. Securities</t>
  </si>
  <si>
    <t>CapEx</t>
  </si>
  <si>
    <t>CFFI</t>
  </si>
  <si>
    <t>Issuance of stock</t>
  </si>
  <si>
    <t>Offering costs</t>
  </si>
  <si>
    <t>Proceeds from revolving credit facilities</t>
  </si>
  <si>
    <t>Repayments of revolving credit facilities</t>
  </si>
  <si>
    <t>Proceeds from credit facility</t>
  </si>
  <si>
    <t>Debt issuance cost</t>
  </si>
  <si>
    <t>Repurch. Of shares to pay employee withholding taxes</t>
  </si>
  <si>
    <t>CFFF</t>
  </si>
  <si>
    <t>BOP Cash</t>
  </si>
  <si>
    <t>EOP Cash</t>
  </si>
  <si>
    <t>CF</t>
  </si>
  <si>
    <t>FCF</t>
  </si>
  <si>
    <t>CapEx Margin</t>
  </si>
  <si>
    <t>FCF Margin</t>
  </si>
  <si>
    <t>YoY FCF</t>
  </si>
  <si>
    <t>E4A Solutions Acquisition</t>
  </si>
  <si>
    <t>Acquisition Date: December 16, 2024.</t>
  </si>
  <si>
    <t>100% of the equity interests of E4A Solutions, an electrical engineering solutions company based in Texas.</t>
  </si>
  <si>
    <t>This acquisition adds engineering expertise to service Riot's electrical infrastructure, aligning with its vertically integrated strategy.</t>
  </si>
  <si>
    <t xml:space="preserve"> It also allows the company to offer electrical solutions and services to the broader market.</t>
  </si>
  <si>
    <t>Prepaids and current assets</t>
  </si>
  <si>
    <t>Customer contracts</t>
  </si>
  <si>
    <t>Trademark</t>
  </si>
  <si>
    <t>Finite-lived intangible assets:</t>
  </si>
  <si>
    <t>Accrued expenses</t>
  </si>
  <si>
    <t>Total assets and liabilities</t>
  </si>
  <si>
    <t>Total purchase consideration</t>
  </si>
  <si>
    <t>($in thousands)</t>
  </si>
  <si>
    <t>Block Mining Acquisition</t>
  </si>
  <si>
    <t>Long-term debt</t>
  </si>
  <si>
    <t>Acquisition Date: July 23, 2024.</t>
  </si>
  <si>
    <t>100% of the equity interests of Block Mining, a vertically integrated Bitcoin mining company in Kentucky.</t>
  </si>
  <si>
    <t>Strategic Rationale: This acquisition immediately enhanced Riot's operational capabilities by:</t>
  </si>
  <si>
    <t>Increasing its total hash rate.</t>
  </si>
  <si>
    <t>Expanding its geographic footprint.</t>
  </si>
  <si>
    <t>Providing access to new energy markets beyond Texas (ERCOT), including Paducah Power Systems, Tennessee Valley Authority, and Big Rivers Electric Corporation.</t>
  </si>
  <si>
    <t>Acquiring two operational sites and a greenfield development site for future growth.</t>
  </si>
  <si>
    <t>Adding an experienced management team.</t>
  </si>
  <si>
    <t>RPOs</t>
  </si>
  <si>
    <t>Total</t>
  </si>
  <si>
    <t>YoY</t>
  </si>
  <si>
    <t>Revenue recognized from bitcoin mined</t>
  </si>
  <si>
    <t>Change in bitcoin receivable</t>
  </si>
  <si>
    <t>Proceeds from sale of bitcoin</t>
  </si>
  <si>
    <t>Exchange of bitcoin for employee comp.</t>
  </si>
  <si>
    <t>Change in fair avlue of bitcoin</t>
  </si>
  <si>
    <t>BOP</t>
  </si>
  <si>
    <t>EOP</t>
  </si>
  <si>
    <t>Quantity</t>
  </si>
  <si>
    <t>Buildings and improvements</t>
  </si>
  <si>
    <t>Land right and improvements</t>
  </si>
  <si>
    <t>Miners and improvements</t>
  </si>
  <si>
    <t>Machinery and facility equipment</t>
  </si>
  <si>
    <t xml:space="preserve">Office and computer </t>
  </si>
  <si>
    <t>Construction in progress</t>
  </si>
  <si>
    <t>Less: D&amp;A</t>
  </si>
  <si>
    <t>PP&amp;A, net</t>
  </si>
  <si>
    <t>Hash rate,average operating (EH/s)</t>
  </si>
  <si>
    <t>Rockdale</t>
  </si>
  <si>
    <t>Corsicana</t>
  </si>
  <si>
    <t>Kentucky</t>
  </si>
  <si>
    <t>Average</t>
  </si>
  <si>
    <t>All-in powercost (cents/kilowatt-hour)</t>
  </si>
  <si>
    <t>Hash rate, deployed (EH/s)</t>
  </si>
  <si>
    <t>Developed powercapacity (MW)</t>
  </si>
  <si>
    <t>Future Depreciation of bitcoin miners:</t>
  </si>
  <si>
    <t>EBITDA</t>
  </si>
  <si>
    <t>Adj. EBITDA</t>
  </si>
  <si>
    <t>EBITDA Margin</t>
  </si>
  <si>
    <t>Adj. Margin</t>
  </si>
  <si>
    <t>YoY EBITDA</t>
  </si>
  <si>
    <t>YoY adj.</t>
  </si>
  <si>
    <t>Business</t>
  </si>
  <si>
    <r>
      <t xml:space="preserve">Primary business, with self-mining hash rate at </t>
    </r>
    <r>
      <rPr>
        <b/>
        <sz val="10"/>
        <color theme="1"/>
        <rFont val="Arial"/>
        <family val="2"/>
      </rPr>
      <t>22.0 EH/s</t>
    </r>
    <r>
      <rPr>
        <sz val="10"/>
        <color theme="1"/>
        <rFont val="Arial"/>
        <family val="2"/>
      </rPr>
      <t xml:space="preserve"> as of June 30, 2025 (up from 12.5 EH/s end-2024).</t>
    </r>
  </si>
  <si>
    <t>Produced 844 Bitcoin in Q2 (down 52% YoY due to April halving) and 1,752 in H1 (down 37% YoY).</t>
  </si>
  <si>
    <r>
      <t xml:space="preserve">Average production cost </t>
    </r>
    <r>
      <rPr>
        <b/>
        <sz val="10"/>
        <color theme="1"/>
        <rFont val="Arial"/>
        <family val="2"/>
      </rPr>
      <t>~$25,327 per Bitcoin</t>
    </r>
    <r>
      <rPr>
        <sz val="10"/>
        <color theme="1"/>
        <rFont val="Arial"/>
        <family val="2"/>
      </rPr>
      <t xml:space="preserve"> in Q2. Deployed 144,036 miners (up from 107,038).</t>
    </r>
  </si>
  <si>
    <r>
      <rPr>
        <b/>
        <sz val="10"/>
        <color theme="1"/>
        <rFont val="Arial"/>
        <family val="2"/>
      </rPr>
      <t>AI/HPC Pivot:</t>
    </r>
    <r>
      <rPr>
        <sz val="10"/>
        <color theme="1"/>
        <rFont val="Arial"/>
        <family val="2"/>
      </rPr>
      <t xml:space="preserve"> Developing unused capacity for AI/HPC, including immersion-cooled hardware at Kentucky/Texas. </t>
    </r>
  </si>
  <si>
    <t>Anticipated demand for AI compute; exploring partnerships. No specific revenue yet, but positioned for diversification.</t>
  </si>
  <si>
    <r>
      <rPr>
        <b/>
        <sz val="10"/>
        <color theme="1"/>
        <rFont val="Arial"/>
        <family val="2"/>
      </rPr>
      <t>Expansions</t>
    </r>
    <r>
      <rPr>
        <sz val="10"/>
        <color theme="1"/>
        <rFont val="Arial"/>
        <family val="2"/>
      </rPr>
      <t>: Targeting 41 EH/s by end-2025 (from 22 EH/s). Ordered 31,500 miners ($99.6 million) for Corsicana.</t>
    </r>
  </si>
  <si>
    <t>Acquired Block Mining (Kentucky) for $81.5 million cash + $11 million stock (up to $92.5 million total). Total potential capacity 2 GW+ across sites.</t>
  </si>
  <si>
    <t>1)</t>
  </si>
  <si>
    <t>2)</t>
  </si>
  <si>
    <t>3)</t>
  </si>
  <si>
    <t>Current Capacity: 65</t>
  </si>
  <si>
    <t>Current Capacity: 700MW</t>
  </si>
  <si>
    <t>Expansion plan: 1,000MW</t>
  </si>
  <si>
    <t>Current Capacity: 400 (Phase 1)</t>
  </si>
  <si>
    <t>Expansion plan: 1,000MW by 2027</t>
  </si>
  <si>
    <t>Buildings: 7 (5 air-cooled, 2 immersion-cooled)</t>
  </si>
  <si>
    <t>Vesting	2020 to 2023</t>
  </si>
  <si>
    <t>Current Hash Rate	15.0 EH/s (as of Feb 2025)</t>
  </si>
  <si>
    <t>Employees: 250 full-time local workers</t>
  </si>
  <si>
    <t>Cooling Technologies: 500MW air-cooled, 200MW immersion-cooled</t>
  </si>
  <si>
    <t>Flagship asset and largest Bitcoin mining site in North America</t>
  </si>
  <si>
    <t>6980 Farm to Market Rd 709 75110 Corsicana Texas, USA</t>
  </si>
  <si>
    <t>2721 Charles Martin Hall Rd 76577 Thorndale Texas, USA</t>
  </si>
  <si>
    <t>Site Size: 265 acres</t>
  </si>
  <si>
    <t>Current Hash Rate: 15.7 EH/s (as of Feb 2025)</t>
  </si>
  <si>
    <t>Cooling Technology: Immersion-cooling</t>
  </si>
  <si>
    <t>Full-Time Employees 165 Local Employees as of February 28, 2024</t>
  </si>
  <si>
    <t>Expansion plan: 300; Contracred Capacity: 110 MW</t>
  </si>
  <si>
    <t>Full-Time Employees: 13 Local Employees</t>
  </si>
  <si>
    <t>Kentucky Hash Rate: 2.9 EH/s as of February 28, 2025</t>
  </si>
  <si>
    <t>Infrastructure Type: 60 MW of Air-cooling</t>
  </si>
  <si>
    <t>1035 Shar-Cal Rd 42029 Calvert City Kentucky, USA</t>
  </si>
  <si>
    <t>Current Capacity 25 MW</t>
  </si>
  <si>
    <t>Expansion Potential: Up to 55 MW (18 MW vacant)</t>
  </si>
  <si>
    <t>Power Source: Tennessee Valley Authority (TVA)</t>
  </si>
  <si>
    <t>Kentucky Block Mining - Calvert City</t>
  </si>
  <si>
    <t>4)</t>
  </si>
  <si>
    <t>Kentucky - Paducah</t>
  </si>
  <si>
    <t>5657 Commerce Dr 42001 Paducah Kentucky, USA</t>
  </si>
  <si>
    <t>Current Capacity 35 MW</t>
  </si>
  <si>
    <t>Expansion Potential 60 MW initially, with a long-term goal of 100 MW</t>
  </si>
  <si>
    <t>Operations: Blends self-mining with hosting services</t>
  </si>
  <si>
    <t>Power Sources: Tennessee Valley Authority (TVA) and Big Rivers Electric Corp.</t>
  </si>
  <si>
    <t>Total Kentucky</t>
  </si>
  <si>
    <t>https://www.datacentermap.com/c/riot-platforms-inc/</t>
  </si>
  <si>
    <t>https://www.riotplatforms.com/bitcoin-mining/kentucky/</t>
  </si>
  <si>
    <t>YoY Deployed capacity</t>
  </si>
  <si>
    <t>QoQ</t>
  </si>
  <si>
    <t>Current Ratio</t>
  </si>
  <si>
    <t>Debt-to-Equity</t>
  </si>
  <si>
    <t>Fixed Asset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</si>
</sst>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rgb="FF1F1F1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6" fillId="0" borderId="0" xfId="1"/>
    <xf numFmtId="3" fontId="4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4" fontId="5" fillId="0" borderId="0" xfId="0" applyNumberFormat="1" applyFont="1"/>
    <xf numFmtId="10" fontId="4" fillId="0" borderId="0" xfId="0" applyNumberFormat="1" applyFont="1"/>
    <xf numFmtId="0" fontId="9" fillId="0" borderId="0" xfId="0" applyFont="1"/>
    <xf numFmtId="3" fontId="0" fillId="0" borderId="0" xfId="0" applyNumberFormat="1"/>
    <xf numFmtId="3" fontId="0" fillId="0" borderId="0" xfId="0" applyNumberFormat="1" applyAlignment="1">
      <alignment horizontal="left" indent="1"/>
    </xf>
    <xf numFmtId="3" fontId="8" fillId="0" borderId="0" xfId="0" applyNumberFormat="1" applyFont="1"/>
    <xf numFmtId="0" fontId="0" fillId="0" borderId="1" xfId="0" applyBorder="1"/>
    <xf numFmtId="0" fontId="9" fillId="0" borderId="1" xfId="0" applyFont="1" applyBorder="1"/>
    <xf numFmtId="0" fontId="10" fillId="0" borderId="0" xfId="0" applyFont="1"/>
    <xf numFmtId="3" fontId="5" fillId="0" borderId="0" xfId="0" applyNumberFormat="1" applyFont="1"/>
    <xf numFmtId="9" fontId="4" fillId="0" borderId="0" xfId="0" applyNumberFormat="1" applyFont="1"/>
    <xf numFmtId="164" fontId="10" fillId="0" borderId="0" xfId="0" applyNumberFormat="1" applyFont="1"/>
    <xf numFmtId="0" fontId="0" fillId="0" borderId="0" xfId="0" applyAlignment="1">
      <alignment horizontal="right"/>
    </xf>
    <xf numFmtId="0" fontId="11" fillId="0" borderId="0" xfId="0" applyFont="1"/>
    <xf numFmtId="164" fontId="4" fillId="2" borderId="0" xfId="0" applyNumberFormat="1" applyFont="1" applyFill="1"/>
    <xf numFmtId="10" fontId="3" fillId="0" borderId="0" xfId="0" applyNumberFormat="1" applyFont="1"/>
    <xf numFmtId="164" fontId="3" fillId="0" borderId="0" xfId="0" applyNumberFormat="1" applyFont="1"/>
    <xf numFmtId="164" fontId="4" fillId="3" borderId="0" xfId="0" applyNumberFormat="1" applyFont="1" applyFill="1"/>
    <xf numFmtId="3" fontId="4" fillId="2" borderId="0" xfId="0" applyNumberFormat="1" applyFont="1" applyFill="1"/>
    <xf numFmtId="2" fontId="2" fillId="0" borderId="0" xfId="0" applyNumberFormat="1" applyFont="1"/>
    <xf numFmtId="2" fontId="4" fillId="0" borderId="0" xfId="0" applyNumberFormat="1" applyFont="1"/>
    <xf numFmtId="4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160020</xdr:colOff>
      <xdr:row>2</xdr:row>
      <xdr:rowOff>83820</xdr:rowOff>
    </xdr:from>
    <xdr:to>
      <xdr:col>11</xdr:col>
      <xdr:colOff>514110</xdr:colOff>
      <xdr:row>12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87B857-B73C-3891-23CE-D43BADB3D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220" y="266700"/>
          <a:ext cx="2792490" cy="1897380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2</xdr:row>
      <xdr:rowOff>67056</xdr:rowOff>
    </xdr:from>
    <xdr:to>
      <xdr:col>16</xdr:col>
      <xdr:colOff>373380</xdr:colOff>
      <xdr:row>12</xdr:row>
      <xdr:rowOff>152400</xdr:rowOff>
    </xdr:to>
    <xdr:pic>
      <xdr:nvPicPr>
        <xdr:cNvPr id="3" name="Picture 2" descr="Bitcoin Mining | Riot Platforms">
          <a:extLst>
            <a:ext uri="{FF2B5EF4-FFF2-40B4-BE49-F238E27FC236}">
              <a16:creationId xmlns:a16="http://schemas.microsoft.com/office/drawing/2014/main" id="{423BEBFF-9248-0CC6-7DBF-927AC18E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249936"/>
          <a:ext cx="2392680" cy="1914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53339</xdr:colOff>
      <xdr:row>13</xdr:row>
      <xdr:rowOff>27636</xdr:rowOff>
    </xdr:from>
    <xdr:to>
      <xdr:col>10</xdr:col>
      <xdr:colOff>20034</xdr:colOff>
      <xdr:row>21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76A906-E15A-1581-93B3-98A19B0EE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20539" y="2222196"/>
          <a:ext cx="1795495" cy="1610664"/>
        </a:xfrm>
        <a:prstGeom prst="rect">
          <a:avLst/>
        </a:prstGeom>
      </xdr:spPr>
    </xdr:pic>
    <xdr:clientData/>
  </xdr:twoCellAnchor>
  <xdr:twoCellAnchor editAs="oneCell">
    <xdr:from>
      <xdr:col>10</xdr:col>
      <xdr:colOff>99060</xdr:colOff>
      <xdr:row>13</xdr:row>
      <xdr:rowOff>45720</xdr:rowOff>
    </xdr:from>
    <xdr:to>
      <xdr:col>14</xdr:col>
      <xdr:colOff>518160</xdr:colOff>
      <xdr:row>22</xdr:row>
      <xdr:rowOff>0</xdr:rowOff>
    </xdr:to>
    <xdr:pic>
      <xdr:nvPicPr>
        <xdr:cNvPr id="5" name="Picture 4" descr="Bitcoin Mining | Riot Platforms">
          <a:extLst>
            <a:ext uri="{FF2B5EF4-FFF2-40B4-BE49-F238E27FC236}">
              <a16:creationId xmlns:a16="http://schemas.microsoft.com/office/drawing/2014/main" id="{9259A5B8-2D10-FAA7-0CC3-FD42E8BF6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5060" y="2240280"/>
          <a:ext cx="2857500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563880</xdr:colOff>
      <xdr:row>13</xdr:row>
      <xdr:rowOff>21247</xdr:rowOff>
    </xdr:from>
    <xdr:to>
      <xdr:col>20</xdr:col>
      <xdr:colOff>243840</xdr:colOff>
      <xdr:row>22</xdr:row>
      <xdr:rowOff>1459</xdr:rowOff>
    </xdr:to>
    <xdr:pic>
      <xdr:nvPicPr>
        <xdr:cNvPr id="6" name="Picture 5" descr="Colorado-Based Riot Nears Phase 1 Completion of Corsicana Bitcoin Mining  Facility » Dallas Innovates">
          <a:extLst>
            <a:ext uri="{FF2B5EF4-FFF2-40B4-BE49-F238E27FC236}">
              <a16:creationId xmlns:a16="http://schemas.microsoft.com/office/drawing/2014/main" id="{CC5898CA-A19A-D208-78BC-41FFE1506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280" y="2215807"/>
          <a:ext cx="3337560" cy="1626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118110</xdr:colOff>
      <xdr:row>22</xdr:row>
      <xdr:rowOff>68580</xdr:rowOff>
    </xdr:from>
    <xdr:to>
      <xdr:col>9</xdr:col>
      <xdr:colOff>412750</xdr:colOff>
      <xdr:row>27</xdr:row>
      <xdr:rowOff>941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37D9135-F54F-4BBD-8858-79E91E528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40860" y="4069080"/>
          <a:ext cx="1501140" cy="884861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571501</xdr:colOff>
      <xdr:row>22</xdr:row>
      <xdr:rowOff>47625</xdr:rowOff>
    </xdr:from>
    <xdr:to>
      <xdr:col>12</xdr:col>
      <xdr:colOff>528297</xdr:colOff>
      <xdr:row>27</xdr:row>
      <xdr:rowOff>31750</xdr:rowOff>
    </xdr:to>
    <xdr:pic>
      <xdr:nvPicPr>
        <xdr:cNvPr id="9" name="Picture 8" descr="Bitcoin Mining | Riot Platforms">
          <a:extLst>
            <a:ext uri="{FF2B5EF4-FFF2-40B4-BE49-F238E27FC236}">
              <a16:creationId xmlns:a16="http://schemas.microsoft.com/office/drawing/2014/main" id="{B18F7D3E-55EC-4B88-A223-6AB480313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6000751" y="4048125"/>
          <a:ext cx="1766546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66783</xdr:colOff>
      <xdr:row>27</xdr:row>
      <xdr:rowOff>174626</xdr:rowOff>
    </xdr:from>
    <xdr:to>
      <xdr:col>14</xdr:col>
      <xdr:colOff>337702</xdr:colOff>
      <xdr:row>34</xdr:row>
      <xdr:rowOff>131379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9A45D4-F0A7-DE39-FCA1-656655990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10231" y="5140764"/>
          <a:ext cx="2688299" cy="1244270"/>
        </a:xfrm>
        <a:prstGeom prst="rect">
          <a:avLst/>
        </a:prstGeom>
      </xdr:spPr>
    </xdr:pic>
    <xdr:clientData/>
  </xdr:twoCellAnchor>
  <xdr:twoCellAnchor editAs="oneCell">
    <xdr:from>
      <xdr:col>14</xdr:col>
      <xdr:colOff>491578</xdr:colOff>
      <xdr:row>28</xdr:row>
      <xdr:rowOff>3286</xdr:rowOff>
    </xdr:from>
    <xdr:to>
      <xdr:col>18</xdr:col>
      <xdr:colOff>350374</xdr:colOff>
      <xdr:row>35</xdr:row>
      <xdr:rowOff>13139</xdr:rowOff>
    </xdr:to>
    <xdr:pic>
      <xdr:nvPicPr>
        <xdr:cNvPr id="11" name="Picture 10" descr="No photo description available.">
          <a:extLst>
            <a:ext uri="{FF2B5EF4-FFF2-40B4-BE49-F238E27FC236}">
              <a16:creationId xmlns:a16="http://schemas.microsoft.com/office/drawing/2014/main" id="{C0967A66-E089-7437-B27C-41BA8246F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2406" y="5153355"/>
          <a:ext cx="2276175" cy="1297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Data%20Centers.xlsx" TargetMode="External"/><Relationship Id="rId1" Type="http://schemas.openxmlformats.org/officeDocument/2006/relationships/externalLinkPath" Target="Data%20Cen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heet1"/>
    </sheetNames>
    <sheetDataSet>
      <sheetData sheetId="0">
        <row r="6">
          <cell r="D6">
            <v>21.94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riotplatforms.com/bitcoin-mining/kentucky/" TargetMode="External"/><Relationship Id="rId1" Type="http://schemas.openxmlformats.org/officeDocument/2006/relationships/hyperlink" Target="https://www.datacentermap.com/c/riot-platforms-in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3"/>
  <sheetViews>
    <sheetView topLeftCell="E1" workbookViewId="0">
      <selection activeCell="J8" sqref="J8"/>
    </sheetView>
  </sheetViews>
  <sheetFormatPr defaultRowHeight="13.2" x14ac:dyDescent="0.25"/>
  <cols>
    <col min="1" max="16384" width="8.88671875" style="1"/>
  </cols>
  <sheetData>
    <row r="2" spans="2:13" x14ac:dyDescent="0.25">
      <c r="B2" s="14" t="s">
        <v>179</v>
      </c>
    </row>
    <row r="3" spans="2:13" x14ac:dyDescent="0.25">
      <c r="B3" s="1" t="s">
        <v>180</v>
      </c>
      <c r="M3" s="1" t="s">
        <v>7</v>
      </c>
    </row>
    <row r="4" spans="2:13" x14ac:dyDescent="0.25">
      <c r="B4" s="1" t="s">
        <v>181</v>
      </c>
      <c r="M4" s="1" t="s">
        <v>183</v>
      </c>
    </row>
    <row r="5" spans="2:13" x14ac:dyDescent="0.25">
      <c r="B5" s="1" t="s">
        <v>182</v>
      </c>
      <c r="M5" s="1" t="s">
        <v>184</v>
      </c>
    </row>
    <row r="7" spans="2:13" x14ac:dyDescent="0.25">
      <c r="I7" s="1" t="s">
        <v>0</v>
      </c>
      <c r="J7" s="27">
        <f>+[1]Main!$D$6</f>
        <v>21.94</v>
      </c>
      <c r="M7" s="1" t="s">
        <v>185</v>
      </c>
    </row>
    <row r="8" spans="2:13" x14ac:dyDescent="0.25">
      <c r="I8" s="1" t="s">
        <v>1</v>
      </c>
      <c r="J8" s="3">
        <v>369.62317999999999</v>
      </c>
      <c r="M8" s="1" t="s">
        <v>186</v>
      </c>
    </row>
    <row r="9" spans="2:13" x14ac:dyDescent="0.25">
      <c r="I9" s="1" t="s">
        <v>2</v>
      </c>
      <c r="J9" s="3">
        <f>+J7*J8</f>
        <v>8109.5325692000006</v>
      </c>
    </row>
    <row r="10" spans="2:13" x14ac:dyDescent="0.25">
      <c r="I10" s="1" t="s">
        <v>3</v>
      </c>
      <c r="J10" s="3">
        <f>+Model!J55+Model!J61+Model!J56</f>
        <v>395.74099999999999</v>
      </c>
    </row>
    <row r="11" spans="2:13" x14ac:dyDescent="0.25">
      <c r="I11" s="1" t="s">
        <v>4</v>
      </c>
      <c r="J11" s="3">
        <f>+Model!J78+Model!J83</f>
        <v>838.35</v>
      </c>
    </row>
    <row r="12" spans="2:13" x14ac:dyDescent="0.25">
      <c r="J12" s="3"/>
    </row>
    <row r="13" spans="2:13" x14ac:dyDescent="0.25">
      <c r="I13" s="1" t="s">
        <v>5</v>
      </c>
      <c r="J13" s="3">
        <f>J9-J10+J11</f>
        <v>8552.141569200001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921C-B576-4DEB-94D5-BA83E38E7113}">
  <dimension ref="A1:AC213"/>
  <sheetViews>
    <sheetView workbookViewId="0">
      <pane xSplit="2" ySplit="2" topLeftCell="C69" activePane="bottomRight" state="frozen"/>
      <selection pane="topRight" activeCell="C1" sqref="C1"/>
      <selection pane="bottomLeft" activeCell="A3" sqref="A3"/>
      <selection pane="bottomRight" activeCell="J90" sqref="J90"/>
    </sheetView>
  </sheetViews>
  <sheetFormatPr defaultRowHeight="13.2" x14ac:dyDescent="0.25"/>
  <cols>
    <col min="1" max="1" width="8.88671875" style="1"/>
    <col min="2" max="2" width="9" style="1" bestFit="1" customWidth="1"/>
    <col min="3" max="6" width="8.88671875" style="1"/>
    <col min="7" max="7" width="9.109375" style="1" bestFit="1" customWidth="1"/>
    <col min="8" max="9" width="8.88671875" style="1"/>
    <col min="10" max="10" width="9.109375" style="1" bestFit="1" customWidth="1"/>
    <col min="11" max="16384" width="8.88671875" style="1"/>
  </cols>
  <sheetData>
    <row r="1" spans="1:29" ht="14.4" x14ac:dyDescent="0.3">
      <c r="A1" s="2" t="s">
        <v>6</v>
      </c>
    </row>
    <row r="2" spans="1:29" x14ac:dyDescent="0.25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7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T2" s="1">
        <v>2022</v>
      </c>
      <c r="U2" s="1">
        <v>2023</v>
      </c>
      <c r="V2" s="1">
        <v>2024</v>
      </c>
      <c r="W2" s="1">
        <v>2025</v>
      </c>
      <c r="X2" s="1">
        <v>2026</v>
      </c>
      <c r="Y2" s="1">
        <v>2027</v>
      </c>
      <c r="Z2" s="1">
        <v>2028</v>
      </c>
      <c r="AA2" s="1">
        <v>2029</v>
      </c>
      <c r="AB2" s="1">
        <v>2030</v>
      </c>
      <c r="AC2" s="1">
        <v>2031</v>
      </c>
    </row>
    <row r="3" spans="1:29" s="4" customFormat="1" x14ac:dyDescent="0.25">
      <c r="B3" s="4" t="s">
        <v>21</v>
      </c>
      <c r="E3" s="4">
        <v>71.396000000000001</v>
      </c>
      <c r="F3" s="4">
        <v>55.76</v>
      </c>
      <c r="G3" s="4">
        <v>67.491</v>
      </c>
      <c r="H3" s="4">
        <v>126.35300000000002</v>
      </c>
      <c r="I3" s="4">
        <v>142.85900000000001</v>
      </c>
      <c r="J3" s="4">
        <v>140.88900000000001</v>
      </c>
      <c r="T3" s="4">
        <v>156.87</v>
      </c>
      <c r="U3" s="4">
        <v>188.99600000000001</v>
      </c>
      <c r="V3" s="4">
        <v>321</v>
      </c>
      <c r="W3" s="4">
        <f>+I3+J3+K3+L3</f>
        <v>283.74800000000005</v>
      </c>
    </row>
    <row r="4" spans="1:29" s="4" customFormat="1" x14ac:dyDescent="0.25">
      <c r="B4" s="4" t="s">
        <v>22</v>
      </c>
      <c r="E4" s="4">
        <v>4.6749999999999998</v>
      </c>
      <c r="F4" s="4">
        <v>9.6270000000000007</v>
      </c>
      <c r="G4" s="4">
        <v>12.638</v>
      </c>
      <c r="H4" s="4">
        <v>11.550999999999998</v>
      </c>
      <c r="I4" s="4">
        <v>13.92</v>
      </c>
      <c r="J4" s="4">
        <v>10.576000000000001</v>
      </c>
      <c r="T4" s="4">
        <v>65.341999999999999</v>
      </c>
      <c r="U4" s="4">
        <v>64.3</v>
      </c>
      <c r="V4" s="4">
        <v>38.491</v>
      </c>
      <c r="W4" s="4">
        <f t="shared" ref="W4:W5" si="0">+I4+J4+K4+L4</f>
        <v>24.496000000000002</v>
      </c>
    </row>
    <row r="5" spans="1:29" s="4" customFormat="1" x14ac:dyDescent="0.25">
      <c r="B5" s="4" t="s">
        <v>23</v>
      </c>
      <c r="E5" s="4">
        <v>3.2250000000000001</v>
      </c>
      <c r="F5" s="4">
        <v>4.6269999999999998</v>
      </c>
      <c r="G5" s="4">
        <v>4.657</v>
      </c>
      <c r="H5" s="4">
        <v>4.6559999999999988</v>
      </c>
      <c r="I5" s="4">
        <v>4.6079999999999997</v>
      </c>
      <c r="J5" s="4">
        <v>1.5229999999999999</v>
      </c>
      <c r="T5" s="4">
        <v>36.959000000000003</v>
      </c>
      <c r="U5" s="4">
        <v>27.379000000000001</v>
      </c>
      <c r="V5" s="4">
        <v>17.164999999999999</v>
      </c>
      <c r="W5" s="4">
        <f t="shared" si="0"/>
        <v>6.1309999999999993</v>
      </c>
    </row>
    <row r="6" spans="1:29" s="5" customFormat="1" x14ac:dyDescent="0.25">
      <c r="B6" s="5" t="s">
        <v>24</v>
      </c>
      <c r="C6" s="5">
        <f t="shared" ref="C6:I6" si="1">SUM(C3:C5)</f>
        <v>0</v>
      </c>
      <c r="D6" s="5">
        <f t="shared" si="1"/>
        <v>0</v>
      </c>
      <c r="E6" s="5">
        <f t="shared" si="1"/>
        <v>79.295999999999992</v>
      </c>
      <c r="F6" s="5">
        <f t="shared" si="1"/>
        <v>70.013999999999996</v>
      </c>
      <c r="G6" s="5">
        <f t="shared" si="1"/>
        <v>84.786000000000001</v>
      </c>
      <c r="H6" s="5">
        <f t="shared" si="1"/>
        <v>142.56000000000003</v>
      </c>
      <c r="I6" s="5">
        <f t="shared" si="1"/>
        <v>161.387</v>
      </c>
      <c r="J6" s="5">
        <f>SUM(J3:J5)</f>
        <v>152.988</v>
      </c>
      <c r="K6" s="5">
        <f t="shared" ref="K6:P6" si="2">SUM(K3:K5)</f>
        <v>0</v>
      </c>
      <c r="L6" s="5">
        <f t="shared" si="2"/>
        <v>0</v>
      </c>
      <c r="M6" s="5">
        <f t="shared" si="2"/>
        <v>0</v>
      </c>
      <c r="N6" s="5">
        <f t="shared" si="2"/>
        <v>0</v>
      </c>
      <c r="O6" s="5">
        <f t="shared" si="2"/>
        <v>0</v>
      </c>
      <c r="P6" s="5">
        <f t="shared" si="2"/>
        <v>0</v>
      </c>
      <c r="Q6" s="4"/>
      <c r="T6" s="5">
        <f>+T3+T4+T5</f>
        <v>259.17099999999999</v>
      </c>
      <c r="U6" s="5">
        <f t="shared" ref="U6:Y6" si="3">+U3+U4+U5</f>
        <v>280.67500000000001</v>
      </c>
      <c r="V6" s="5">
        <f t="shared" si="3"/>
        <v>376.65600000000001</v>
      </c>
      <c r="W6" s="5">
        <f t="shared" si="3"/>
        <v>314.375</v>
      </c>
      <c r="X6" s="5">
        <f t="shared" si="3"/>
        <v>0</v>
      </c>
      <c r="Y6" s="5">
        <f t="shared" si="3"/>
        <v>0</v>
      </c>
    </row>
    <row r="7" spans="1:29" s="4" customFormat="1" x14ac:dyDescent="0.25">
      <c r="B7" s="4" t="s">
        <v>21</v>
      </c>
      <c r="E7" s="4">
        <v>36.548999999999999</v>
      </c>
      <c r="F7" s="4">
        <v>35.270000000000003</v>
      </c>
      <c r="G7" s="4">
        <v>51.472000000000001</v>
      </c>
      <c r="H7" s="4">
        <v>65.932999999999964</v>
      </c>
      <c r="I7" s="4">
        <v>74.817999999999998</v>
      </c>
      <c r="J7" s="4">
        <v>78.174999999999997</v>
      </c>
      <c r="T7" s="4">
        <v>74.334999999999994</v>
      </c>
      <c r="U7" s="4">
        <v>96.6</v>
      </c>
      <c r="V7" s="4">
        <v>189.22399999999999</v>
      </c>
      <c r="W7" s="4">
        <f t="shared" ref="W7:W9" si="4">+I7+J7+K7+L7</f>
        <v>152.99299999999999</v>
      </c>
    </row>
    <row r="8" spans="1:29" s="4" customFormat="1" x14ac:dyDescent="0.25">
      <c r="B8" s="4" t="s">
        <v>22</v>
      </c>
      <c r="E8" s="4">
        <v>6</v>
      </c>
      <c r="F8" s="4">
        <v>8.26</v>
      </c>
      <c r="G8" s="4">
        <v>13.516999999999999</v>
      </c>
      <c r="H8" s="4">
        <v>13.954000000000001</v>
      </c>
      <c r="I8" s="4">
        <v>11.8</v>
      </c>
      <c r="J8" s="4">
        <v>9.8580000000000005</v>
      </c>
      <c r="T8" s="4">
        <v>57.454999999999998</v>
      </c>
      <c r="U8" s="4">
        <v>60.613999999999997</v>
      </c>
      <c r="V8" s="4">
        <v>41.731000000000002</v>
      </c>
      <c r="W8" s="4">
        <f t="shared" si="4"/>
        <v>21.658000000000001</v>
      </c>
    </row>
    <row r="9" spans="1:29" s="4" customFormat="1" x14ac:dyDescent="0.25">
      <c r="B9" s="4" t="s">
        <v>23</v>
      </c>
      <c r="E9" s="4">
        <v>4.5350000000000001</v>
      </c>
      <c r="F9" s="4">
        <v>10.1</v>
      </c>
      <c r="G9" s="4">
        <v>7.9480000000000004</v>
      </c>
      <c r="H9" s="4">
        <v>9.2170000000000005</v>
      </c>
      <c r="I9" s="4">
        <v>8.9649999999999999</v>
      </c>
      <c r="J9" s="4">
        <v>3</v>
      </c>
      <c r="T9" s="4">
        <v>61.9</v>
      </c>
      <c r="U9" s="4">
        <v>97.122</v>
      </c>
      <c r="V9" s="4">
        <v>31.8</v>
      </c>
      <c r="W9" s="4">
        <f t="shared" si="4"/>
        <v>11.965</v>
      </c>
    </row>
    <row r="10" spans="1:29" s="5" customFormat="1" x14ac:dyDescent="0.25">
      <c r="B10" s="5" t="s">
        <v>25</v>
      </c>
      <c r="C10" s="5">
        <f t="shared" ref="C10:I10" si="5">SUM(C7:C9)</f>
        <v>0</v>
      </c>
      <c r="D10" s="5">
        <f t="shared" si="5"/>
        <v>0</v>
      </c>
      <c r="E10" s="5">
        <f t="shared" si="5"/>
        <v>47.084000000000003</v>
      </c>
      <c r="F10" s="5">
        <f t="shared" si="5"/>
        <v>53.63</v>
      </c>
      <c r="G10" s="5">
        <f t="shared" si="5"/>
        <v>72.937000000000012</v>
      </c>
      <c r="H10" s="5">
        <f t="shared" si="5"/>
        <v>89.103999999999971</v>
      </c>
      <c r="I10" s="5">
        <f t="shared" si="5"/>
        <v>95.582999999999998</v>
      </c>
      <c r="J10" s="5">
        <f>SUM(J7:J9)</f>
        <v>91.033000000000001</v>
      </c>
      <c r="K10" s="5">
        <f t="shared" ref="K10:P10" si="6">SUM(K7:K9)</f>
        <v>0</v>
      </c>
      <c r="L10" s="5">
        <f t="shared" si="6"/>
        <v>0</v>
      </c>
      <c r="M10" s="5">
        <f t="shared" si="6"/>
        <v>0</v>
      </c>
      <c r="N10" s="5">
        <f t="shared" si="6"/>
        <v>0</v>
      </c>
      <c r="O10" s="5">
        <f t="shared" si="6"/>
        <v>0</v>
      </c>
      <c r="P10" s="5">
        <f t="shared" si="6"/>
        <v>0</v>
      </c>
      <c r="Q10" s="4"/>
      <c r="T10" s="5">
        <f t="shared" ref="T10" si="7">SUM(T7:T9)</f>
        <v>193.69</v>
      </c>
      <c r="U10" s="5">
        <f t="shared" ref="U10" si="8">SUM(U7:U9)</f>
        <v>254.33600000000001</v>
      </c>
      <c r="V10" s="5">
        <f t="shared" ref="V10" si="9">SUM(V7:V9)</f>
        <v>262.755</v>
      </c>
      <c r="W10" s="5">
        <f t="shared" ref="W10" si="10">SUM(W7:W9)</f>
        <v>186.61600000000001</v>
      </c>
      <c r="X10" s="5">
        <f t="shared" ref="X10" si="11">SUM(X7:X9)</f>
        <v>0</v>
      </c>
      <c r="Y10" s="5">
        <f t="shared" ref="Y10" si="12">SUM(Y7:Y9)</f>
        <v>0</v>
      </c>
    </row>
    <row r="11" spans="1:29" s="5" customFormat="1" x14ac:dyDescent="0.25">
      <c r="B11" s="5" t="s">
        <v>26</v>
      </c>
      <c r="C11" s="5">
        <f t="shared" ref="C11:I11" si="13">C6-C10</f>
        <v>0</v>
      </c>
      <c r="D11" s="5">
        <f t="shared" si="13"/>
        <v>0</v>
      </c>
      <c r="E11" s="5">
        <f t="shared" si="13"/>
        <v>32.211999999999989</v>
      </c>
      <c r="F11" s="5">
        <f t="shared" si="13"/>
        <v>16.383999999999993</v>
      </c>
      <c r="G11" s="5">
        <f t="shared" si="13"/>
        <v>11.84899999999999</v>
      </c>
      <c r="H11" s="5">
        <f t="shared" si="13"/>
        <v>53.45600000000006</v>
      </c>
      <c r="I11" s="5">
        <f t="shared" si="13"/>
        <v>65.804000000000002</v>
      </c>
      <c r="J11" s="5">
        <f>J6-J10</f>
        <v>61.954999999999998</v>
      </c>
      <c r="K11" s="5">
        <f t="shared" ref="K11:P11" si="14">K6-K10</f>
        <v>0</v>
      </c>
      <c r="L11" s="5">
        <f t="shared" si="14"/>
        <v>0</v>
      </c>
      <c r="M11" s="5">
        <f t="shared" si="14"/>
        <v>0</v>
      </c>
      <c r="N11" s="5">
        <f t="shared" si="14"/>
        <v>0</v>
      </c>
      <c r="O11" s="5">
        <f t="shared" si="14"/>
        <v>0</v>
      </c>
      <c r="P11" s="5">
        <f t="shared" si="14"/>
        <v>0</v>
      </c>
      <c r="Q11" s="4"/>
      <c r="T11" s="5">
        <f t="shared" ref="T11" si="15">T6-T10</f>
        <v>65.480999999999995</v>
      </c>
      <c r="U11" s="5">
        <f t="shared" ref="U11" si="16">U6-U10</f>
        <v>26.338999999999999</v>
      </c>
      <c r="V11" s="5">
        <f t="shared" ref="V11" si="17">V6-V10</f>
        <v>113.90100000000001</v>
      </c>
      <c r="W11" s="5">
        <f t="shared" ref="W11" si="18">W6-W10</f>
        <v>127.75899999999999</v>
      </c>
      <c r="X11" s="5">
        <f t="shared" ref="X11" si="19">X6-X10</f>
        <v>0</v>
      </c>
      <c r="Y11" s="5">
        <f t="shared" ref="Y11" si="20">Y6-Y10</f>
        <v>0</v>
      </c>
    </row>
    <row r="12" spans="1:29" s="4" customFormat="1" x14ac:dyDescent="0.25">
      <c r="B12" s="4" t="s">
        <v>27</v>
      </c>
      <c r="E12" s="4">
        <v>0</v>
      </c>
      <c r="F12" s="4">
        <v>0</v>
      </c>
      <c r="G12" s="4">
        <v>3.0790000000000002</v>
      </c>
      <c r="H12" s="4">
        <v>2.4620000000000002</v>
      </c>
      <c r="I12" s="4">
        <v>7.5999999999999998E-2</v>
      </c>
      <c r="J12" s="4">
        <v>0.1</v>
      </c>
      <c r="T12" s="4">
        <v>7.8E-2</v>
      </c>
      <c r="U12" s="4">
        <v>0</v>
      </c>
      <c r="V12" s="4">
        <v>5.5410000000000004</v>
      </c>
      <c r="W12" s="4">
        <f t="shared" ref="W12:W21" si="21">+I12+J12+K12+L12</f>
        <v>0.17599999999999999</v>
      </c>
    </row>
    <row r="13" spans="1:29" s="4" customFormat="1" x14ac:dyDescent="0.25">
      <c r="B13" s="4" t="s">
        <v>28</v>
      </c>
      <c r="E13" s="4">
        <v>57.652000000000001</v>
      </c>
      <c r="F13" s="4">
        <v>61.189</v>
      </c>
      <c r="G13" s="4">
        <v>66.936000000000007</v>
      </c>
      <c r="H13" s="4">
        <v>81.138000000000019</v>
      </c>
      <c r="I13" s="4">
        <v>71.447999999999993</v>
      </c>
      <c r="J13" s="4">
        <v>75.900000000000006</v>
      </c>
      <c r="T13" s="4">
        <v>67.451999999999998</v>
      </c>
      <c r="U13" s="4">
        <v>100.346</v>
      </c>
      <c r="V13" s="4">
        <v>266.91500000000002</v>
      </c>
      <c r="W13" s="4">
        <f t="shared" si="21"/>
        <v>147.34800000000001</v>
      </c>
    </row>
    <row r="14" spans="1:29" s="4" customFormat="1" x14ac:dyDescent="0.25">
      <c r="B14" s="4" t="s">
        <v>29</v>
      </c>
      <c r="E14" s="4">
        <v>32.343000000000004</v>
      </c>
      <c r="F14" s="4">
        <v>37.326000000000001</v>
      </c>
      <c r="G14" s="4">
        <v>60</v>
      </c>
      <c r="H14" s="4">
        <v>82.381000000000014</v>
      </c>
      <c r="I14" s="4">
        <v>77.900000000000006</v>
      </c>
      <c r="J14" s="4">
        <v>83.2</v>
      </c>
      <c r="T14" s="4">
        <v>107.95</v>
      </c>
      <c r="U14" s="4">
        <v>252.35400000000001</v>
      </c>
      <c r="V14" s="4">
        <v>212.05</v>
      </c>
      <c r="W14" s="4">
        <f t="shared" si="21"/>
        <v>161.10000000000002</v>
      </c>
    </row>
    <row r="15" spans="1:29" s="4" customFormat="1" x14ac:dyDescent="0.25">
      <c r="B15" s="4" t="s">
        <v>31</v>
      </c>
      <c r="E15" s="4">
        <v>-234</v>
      </c>
      <c r="F15" s="4">
        <v>76.400000000000006</v>
      </c>
      <c r="G15" s="4">
        <v>-8.5540000000000003</v>
      </c>
      <c r="H15" s="4">
        <v>-291.24599999999998</v>
      </c>
      <c r="I15" s="4">
        <v>208</v>
      </c>
      <c r="J15" s="4">
        <v>-470.8</v>
      </c>
      <c r="T15" s="4">
        <v>0</v>
      </c>
      <c r="U15" s="4">
        <v>-184.73400000000001</v>
      </c>
      <c r="V15" s="4">
        <v>-457.4</v>
      </c>
      <c r="W15" s="4">
        <f t="shared" si="21"/>
        <v>-262.8</v>
      </c>
    </row>
    <row r="16" spans="1:29" s="4" customFormat="1" x14ac:dyDescent="0.25">
      <c r="B16" s="4" t="s">
        <v>32</v>
      </c>
      <c r="E16" s="4">
        <v>-20.2</v>
      </c>
      <c r="F16" s="4">
        <v>-27.484000000000002</v>
      </c>
      <c r="G16" s="4">
        <v>24.318000000000001</v>
      </c>
      <c r="H16" s="4">
        <v>-21.910999999999998</v>
      </c>
      <c r="I16" s="4">
        <v>-41.89</v>
      </c>
      <c r="J16" s="4">
        <v>42.7</v>
      </c>
      <c r="T16" s="4">
        <v>-71.418000000000006</v>
      </c>
      <c r="U16" s="4">
        <v>-6.7210000000000001</v>
      </c>
      <c r="V16" s="4">
        <v>-45.277000000000001</v>
      </c>
      <c r="W16" s="4">
        <f t="shared" si="21"/>
        <v>0.81000000000000227</v>
      </c>
    </row>
    <row r="17" spans="2:25" s="4" customFormat="1" x14ac:dyDescent="0.25">
      <c r="B17" s="4" t="s">
        <v>33</v>
      </c>
      <c r="E17" s="4">
        <v>-5.0999999999999996</v>
      </c>
      <c r="F17" s="4">
        <v>-13.9</v>
      </c>
      <c r="G17" s="4">
        <v>-12.417</v>
      </c>
      <c r="H17" s="4">
        <v>-2.2680000000000007</v>
      </c>
      <c r="I17" s="4">
        <v>-7.8</v>
      </c>
      <c r="J17" s="4">
        <v>-8.3000000000000007</v>
      </c>
      <c r="T17" s="4">
        <v>-27.344999999999999</v>
      </c>
      <c r="U17" s="4">
        <v>-71.215000000000003</v>
      </c>
      <c r="V17" s="4">
        <v>-33.685000000000002</v>
      </c>
      <c r="W17" s="4">
        <f t="shared" si="21"/>
        <v>-16.100000000000001</v>
      </c>
    </row>
    <row r="18" spans="2:25" s="4" customFormat="1" x14ac:dyDescent="0.25">
      <c r="B18" s="4" t="s">
        <v>34</v>
      </c>
      <c r="E18" s="4">
        <v>0</v>
      </c>
      <c r="F18" s="4">
        <v>0</v>
      </c>
      <c r="G18" s="4">
        <v>0</v>
      </c>
      <c r="H18" s="4">
        <v>-2.4590000000000001</v>
      </c>
      <c r="I18" s="4">
        <v>-8.2520000000000007</v>
      </c>
      <c r="J18" s="4">
        <v>-9.3000000000000007</v>
      </c>
      <c r="T18" s="4">
        <v>-0.159</v>
      </c>
      <c r="U18" s="4">
        <v>0</v>
      </c>
      <c r="V18" s="4">
        <v>-2.4590000000000001</v>
      </c>
      <c r="W18" s="4">
        <f t="shared" si="21"/>
        <v>-17.552</v>
      </c>
    </row>
    <row r="19" spans="2:25" s="4" customFormat="1" x14ac:dyDescent="0.25">
      <c r="B19" s="4" t="s">
        <v>35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158.1</v>
      </c>
      <c r="T19" s="4">
        <v>0</v>
      </c>
      <c r="U19" s="4">
        <v>0</v>
      </c>
      <c r="V19" s="4">
        <v>0</v>
      </c>
      <c r="W19" s="4">
        <f t="shared" si="21"/>
        <v>158.1</v>
      </c>
    </row>
    <row r="20" spans="2:25" s="4" customFormat="1" x14ac:dyDescent="0.25">
      <c r="B20" s="4" t="s">
        <v>36</v>
      </c>
      <c r="E20" s="4">
        <v>0</v>
      </c>
      <c r="F20" s="4">
        <v>6.8000000000000005E-2</v>
      </c>
      <c r="G20" s="4">
        <v>0</v>
      </c>
      <c r="H20" s="4">
        <v>17.360999999999997</v>
      </c>
      <c r="I20" s="4">
        <v>0.129</v>
      </c>
      <c r="J20" s="4">
        <v>0.35</v>
      </c>
      <c r="T20" s="4">
        <v>-16.280999999999999</v>
      </c>
      <c r="U20" s="4">
        <v>5.3360000000000003</v>
      </c>
      <c r="V20" s="4">
        <v>17.428999999999998</v>
      </c>
      <c r="W20" s="4">
        <f t="shared" si="21"/>
        <v>0.47899999999999998</v>
      </c>
    </row>
    <row r="21" spans="2:25" s="4" customFormat="1" x14ac:dyDescent="0.25">
      <c r="B21" s="4" t="s">
        <v>23</v>
      </c>
      <c r="E21" s="4">
        <v>-2.2999999999999998</v>
      </c>
      <c r="F21" s="4">
        <v>-0.187</v>
      </c>
      <c r="G21" s="4">
        <v>0</v>
      </c>
      <c r="H21" s="4">
        <v>-0.30800000000000027</v>
      </c>
      <c r="I21" s="4">
        <v>0</v>
      </c>
      <c r="J21" s="4">
        <f>-26-0.1</f>
        <v>-26.1</v>
      </c>
      <c r="T21" s="4">
        <f>9.688-30.346+335.648+55.544+147.365</f>
        <v>517.899</v>
      </c>
      <c r="U21" s="4">
        <v>-5.9740000000000002</v>
      </c>
      <c r="V21" s="4">
        <v>-2.7949999999999999</v>
      </c>
      <c r="W21" s="4">
        <f t="shared" si="21"/>
        <v>-26.1</v>
      </c>
    </row>
    <row r="22" spans="2:25" s="5" customFormat="1" x14ac:dyDescent="0.25">
      <c r="B22" s="5" t="s">
        <v>37</v>
      </c>
      <c r="C22" s="5">
        <f t="shared" ref="C22:I22" si="22">SUM(C12:C21)</f>
        <v>0</v>
      </c>
      <c r="D22" s="5">
        <f t="shared" si="22"/>
        <v>0</v>
      </c>
      <c r="E22" s="5">
        <f t="shared" si="22"/>
        <v>-171.60499999999999</v>
      </c>
      <c r="F22" s="5">
        <f t="shared" si="22"/>
        <v>133.41200000000001</v>
      </c>
      <c r="G22" s="5">
        <f t="shared" si="22"/>
        <v>133.36199999999999</v>
      </c>
      <c r="H22" s="5">
        <f t="shared" si="22"/>
        <v>-134.84999999999994</v>
      </c>
      <c r="I22" s="5">
        <f t="shared" si="22"/>
        <v>299.61099999999999</v>
      </c>
      <c r="J22" s="5">
        <f>SUM(J12:J21)</f>
        <v>-154.15000000000006</v>
      </c>
      <c r="K22" s="5">
        <f t="shared" ref="K22:P22" si="23">SUM(K12:K21)</f>
        <v>0</v>
      </c>
      <c r="L22" s="5">
        <f t="shared" si="23"/>
        <v>0</v>
      </c>
      <c r="M22" s="5">
        <f t="shared" si="23"/>
        <v>0</v>
      </c>
      <c r="N22" s="5">
        <f t="shared" si="23"/>
        <v>0</v>
      </c>
      <c r="O22" s="5">
        <f t="shared" si="23"/>
        <v>0</v>
      </c>
      <c r="P22" s="5">
        <f t="shared" si="23"/>
        <v>0</v>
      </c>
      <c r="Q22" s="4"/>
      <c r="T22" s="5">
        <f t="shared" ref="T22" si="24">SUM(T12:T21)</f>
        <v>578.17600000000004</v>
      </c>
      <c r="U22" s="5">
        <f t="shared" ref="U22" si="25">SUM(U12:U21)</f>
        <v>89.392000000000024</v>
      </c>
      <c r="V22" s="5">
        <f t="shared" ref="V22" si="26">SUM(V12:V21)</f>
        <v>-39.680999999999955</v>
      </c>
      <c r="W22" s="5">
        <f t="shared" ref="W22" si="27">SUM(W12:W21)</f>
        <v>145.46100000000001</v>
      </c>
      <c r="X22" s="5">
        <f t="shared" ref="X22" si="28">SUM(X12:X21)</f>
        <v>0</v>
      </c>
      <c r="Y22" s="5">
        <f t="shared" ref="Y22" si="29">SUM(Y12:Y21)</f>
        <v>0</v>
      </c>
    </row>
    <row r="23" spans="2:25" s="5" customFormat="1" x14ac:dyDescent="0.25">
      <c r="B23" s="5" t="s">
        <v>38</v>
      </c>
      <c r="C23" s="5">
        <f t="shared" ref="C23:I23" si="30">C11-C22</f>
        <v>0</v>
      </c>
      <c r="D23" s="5">
        <f t="shared" si="30"/>
        <v>0</v>
      </c>
      <c r="E23" s="5">
        <f t="shared" si="30"/>
        <v>203.81699999999998</v>
      </c>
      <c r="F23" s="5">
        <f t="shared" si="30"/>
        <v>-117.02800000000002</v>
      </c>
      <c r="G23" s="5">
        <f t="shared" si="30"/>
        <v>-121.51300000000001</v>
      </c>
      <c r="H23" s="5">
        <f t="shared" si="30"/>
        <v>188.30599999999998</v>
      </c>
      <c r="I23" s="5">
        <f t="shared" si="30"/>
        <v>-233.80699999999999</v>
      </c>
      <c r="J23" s="5">
        <f>J11-J22</f>
        <v>216.10500000000008</v>
      </c>
      <c r="K23" s="5">
        <f t="shared" ref="K23:P23" si="31">K11-K22</f>
        <v>0</v>
      </c>
      <c r="L23" s="5">
        <f t="shared" si="31"/>
        <v>0</v>
      </c>
      <c r="M23" s="5">
        <f t="shared" si="31"/>
        <v>0</v>
      </c>
      <c r="N23" s="5">
        <f t="shared" si="31"/>
        <v>0</v>
      </c>
      <c r="O23" s="5">
        <f t="shared" si="31"/>
        <v>0</v>
      </c>
      <c r="P23" s="5">
        <f t="shared" si="31"/>
        <v>0</v>
      </c>
      <c r="Q23" s="4"/>
      <c r="T23" s="5">
        <f t="shared" ref="T23" si="32">T11-T22</f>
        <v>-512.69500000000005</v>
      </c>
      <c r="U23" s="5">
        <f t="shared" ref="U23" si="33">U11-U22</f>
        <v>-63.053000000000026</v>
      </c>
      <c r="V23" s="5">
        <f t="shared" ref="V23" si="34">V11-V22</f>
        <v>153.58199999999997</v>
      </c>
      <c r="W23" s="5">
        <f t="shared" ref="W23" si="35">W11-W22</f>
        <v>-17.702000000000027</v>
      </c>
      <c r="X23" s="5">
        <f t="shared" ref="X23" si="36">X11-X22</f>
        <v>0</v>
      </c>
      <c r="Y23" s="5">
        <f t="shared" ref="Y23" si="37">Y11-Y22</f>
        <v>0</v>
      </c>
    </row>
    <row r="24" spans="2:25" s="4" customFormat="1" x14ac:dyDescent="0.25">
      <c r="B24" s="4" t="s">
        <v>39</v>
      </c>
      <c r="E24" s="4">
        <v>8.1890000000000001</v>
      </c>
      <c r="F24" s="4">
        <v>8.4659999999999993</v>
      </c>
      <c r="G24" s="4">
        <v>5.1749999999999998</v>
      </c>
      <c r="H24" s="4">
        <v>5.3360000000000003</v>
      </c>
      <c r="I24" s="4">
        <v>3.3969999999999998</v>
      </c>
      <c r="J24" s="4">
        <v>3.3</v>
      </c>
      <c r="T24" s="4">
        <v>1.7629999999999999</v>
      </c>
      <c r="U24" s="4">
        <v>11.076000000000001</v>
      </c>
      <c r="V24" s="4">
        <v>27.166</v>
      </c>
      <c r="W24" s="4">
        <f t="shared" ref="W24:W27" si="38">+I24+J24+K24+L24</f>
        <v>6.6969999999999992</v>
      </c>
    </row>
    <row r="25" spans="2:25" s="4" customFormat="1" x14ac:dyDescent="0.25">
      <c r="B25" s="4" t="s">
        <v>40</v>
      </c>
      <c r="E25" s="4">
        <v>-0.38400000000000001</v>
      </c>
      <c r="F25" s="4">
        <v>-0.314</v>
      </c>
      <c r="G25" s="4">
        <v>0</v>
      </c>
      <c r="H25" s="4">
        <v>-1.2869999999999999</v>
      </c>
      <c r="I25" s="4">
        <v>-2.3079999999999998</v>
      </c>
      <c r="J25" s="4">
        <v>-6.1</v>
      </c>
      <c r="T25" s="4">
        <v>-1.3</v>
      </c>
      <c r="U25" s="4">
        <v>-2.8540000000000001</v>
      </c>
      <c r="V25" s="4">
        <v>-1.9850000000000001</v>
      </c>
      <c r="W25" s="4">
        <f t="shared" si="38"/>
        <v>-8.4079999999999995</v>
      </c>
    </row>
    <row r="26" spans="2:25" s="4" customFormat="1" x14ac:dyDescent="0.25">
      <c r="B26" s="4" t="s">
        <v>41</v>
      </c>
      <c r="E26" s="4">
        <v>0</v>
      </c>
      <c r="F26" s="4">
        <v>24.462</v>
      </c>
      <c r="G26" s="4">
        <v>-38.082000000000001</v>
      </c>
      <c r="H26" s="4">
        <v>-55.879999999999995</v>
      </c>
      <c r="I26" s="4">
        <v>-63.238</v>
      </c>
      <c r="J26" s="4">
        <v>6.1429999999999998</v>
      </c>
      <c r="T26" s="4">
        <v>-9</v>
      </c>
      <c r="U26" s="4">
        <v>0</v>
      </c>
      <c r="V26" s="4">
        <v>-69.5</v>
      </c>
      <c r="W26" s="4">
        <f t="shared" si="38"/>
        <v>-57.094999999999999</v>
      </c>
    </row>
    <row r="27" spans="2:25" s="4" customFormat="1" x14ac:dyDescent="0.25">
      <c r="B27" s="4" t="s">
        <v>23</v>
      </c>
      <c r="E27" s="4">
        <v>8.0000000000000002E-3</v>
      </c>
      <c r="F27" s="4">
        <v>3.3000000000000002E-2</v>
      </c>
      <c r="G27" s="4">
        <v>0.09</v>
      </c>
      <c r="H27" s="4">
        <v>0.73199999999999998</v>
      </c>
      <c r="I27" s="4">
        <v>9.2999999999999999E-2</v>
      </c>
      <c r="J27" s="4">
        <v>0.24</v>
      </c>
      <c r="T27" s="4">
        <v>-5.8999999999999997E-2</v>
      </c>
      <c r="U27" s="4">
        <v>0.26</v>
      </c>
      <c r="V27" s="4">
        <v>0.86299999999999999</v>
      </c>
      <c r="W27" s="4">
        <f t="shared" si="38"/>
        <v>0.33299999999999996</v>
      </c>
    </row>
    <row r="28" spans="2:25" s="5" customFormat="1" x14ac:dyDescent="0.25">
      <c r="B28" s="5" t="s">
        <v>42</v>
      </c>
      <c r="C28" s="5">
        <f t="shared" ref="C28:I28" si="39">C23+SUM(C24:C27)</f>
        <v>0</v>
      </c>
      <c r="D28" s="5">
        <f t="shared" si="39"/>
        <v>0</v>
      </c>
      <c r="E28" s="5">
        <f t="shared" si="39"/>
        <v>211.62999999999997</v>
      </c>
      <c r="F28" s="5">
        <f t="shared" si="39"/>
        <v>-84.381000000000029</v>
      </c>
      <c r="G28" s="5">
        <f t="shared" si="39"/>
        <v>-154.33000000000001</v>
      </c>
      <c r="H28" s="5">
        <f t="shared" si="39"/>
        <v>137.20699999999999</v>
      </c>
      <c r="I28" s="5">
        <f t="shared" si="39"/>
        <v>-295.863</v>
      </c>
      <c r="J28" s="5">
        <f>J23+SUM(J24:J27)</f>
        <v>219.68800000000007</v>
      </c>
      <c r="K28" s="5">
        <f t="shared" ref="K28:P28" si="40">K23+SUM(K24:K27)</f>
        <v>0</v>
      </c>
      <c r="L28" s="5">
        <f t="shared" si="40"/>
        <v>0</v>
      </c>
      <c r="M28" s="5">
        <f t="shared" si="40"/>
        <v>0</v>
      </c>
      <c r="N28" s="5">
        <f t="shared" si="40"/>
        <v>0</v>
      </c>
      <c r="O28" s="5">
        <f t="shared" si="40"/>
        <v>0</v>
      </c>
      <c r="P28" s="5">
        <f t="shared" si="40"/>
        <v>0</v>
      </c>
      <c r="Q28" s="4"/>
      <c r="T28" s="5">
        <f t="shared" ref="T28" si="41">T23+SUM(T24:T27)</f>
        <v>-521.29100000000005</v>
      </c>
      <c r="U28" s="5">
        <f t="shared" ref="U28" si="42">U23+SUM(U24:U27)</f>
        <v>-54.571000000000026</v>
      </c>
      <c r="V28" s="5">
        <f t="shared" ref="V28" si="43">V23+SUM(V24:V27)</f>
        <v>110.12599999999996</v>
      </c>
      <c r="W28" s="5">
        <f t="shared" ref="W28" si="44">W23+SUM(W24:W27)</f>
        <v>-76.175000000000026</v>
      </c>
      <c r="X28" s="5">
        <f t="shared" ref="X28" si="45">X23+SUM(X24:X27)</f>
        <v>0</v>
      </c>
      <c r="Y28" s="5">
        <f t="shared" ref="Y28" si="46">Y23+SUM(Y24:Y27)</f>
        <v>0</v>
      </c>
    </row>
    <row r="29" spans="2:25" s="4" customFormat="1" x14ac:dyDescent="0.25">
      <c r="B29" s="4" t="s">
        <v>43</v>
      </c>
      <c r="E29" s="4">
        <v>2.1999999999999999E-2</v>
      </c>
      <c r="F29" s="4">
        <v>-5.5E-2</v>
      </c>
      <c r="G29" s="4">
        <v>-3.2000000000000001E-2</v>
      </c>
      <c r="H29" s="4">
        <v>-0.67899999999999994</v>
      </c>
      <c r="I29" s="4">
        <v>-0.437</v>
      </c>
      <c r="J29" s="4">
        <v>-0.32</v>
      </c>
      <c r="T29" s="4">
        <f>-0.789+12.538</f>
        <v>11.749000000000001</v>
      </c>
      <c r="U29" s="4">
        <v>5.0999999999999996</v>
      </c>
      <c r="V29" s="4">
        <v>-0.74399999999999999</v>
      </c>
      <c r="W29" s="4">
        <f>+I29+J29+K29+L29</f>
        <v>-0.75700000000000001</v>
      </c>
    </row>
    <row r="30" spans="2:25" s="5" customFormat="1" x14ac:dyDescent="0.25">
      <c r="B30" s="5" t="s">
        <v>44</v>
      </c>
      <c r="C30" s="5">
        <f t="shared" ref="C30:I30" si="47">C28+C29</f>
        <v>0</v>
      </c>
      <c r="D30" s="5">
        <f t="shared" si="47"/>
        <v>0</v>
      </c>
      <c r="E30" s="5">
        <f t="shared" si="47"/>
        <v>211.65199999999996</v>
      </c>
      <c r="F30" s="5">
        <f t="shared" si="47"/>
        <v>-84.436000000000035</v>
      </c>
      <c r="G30" s="5">
        <f t="shared" si="47"/>
        <v>-154.36200000000002</v>
      </c>
      <c r="H30" s="5">
        <f t="shared" si="47"/>
        <v>136.52799999999999</v>
      </c>
      <c r="I30" s="5">
        <f t="shared" si="47"/>
        <v>-296.3</v>
      </c>
      <c r="J30" s="5">
        <f>J28+J29</f>
        <v>219.36800000000008</v>
      </c>
      <c r="K30" s="5">
        <f t="shared" ref="K30:P30" si="48">K28+K29</f>
        <v>0</v>
      </c>
      <c r="L30" s="5">
        <f t="shared" si="48"/>
        <v>0</v>
      </c>
      <c r="M30" s="5">
        <f t="shared" si="48"/>
        <v>0</v>
      </c>
      <c r="N30" s="5">
        <f t="shared" si="48"/>
        <v>0</v>
      </c>
      <c r="O30" s="5">
        <f t="shared" si="48"/>
        <v>0</v>
      </c>
      <c r="P30" s="5">
        <f t="shared" si="48"/>
        <v>0</v>
      </c>
      <c r="Q30" s="4"/>
      <c r="T30" s="5">
        <f t="shared" ref="T30" si="49">T28+T29</f>
        <v>-509.54200000000003</v>
      </c>
      <c r="U30" s="5">
        <f t="shared" ref="U30" si="50">U28+U29</f>
        <v>-49.471000000000025</v>
      </c>
      <c r="V30" s="5">
        <f t="shared" ref="V30" si="51">V28+V29</f>
        <v>109.38199999999996</v>
      </c>
      <c r="W30" s="5">
        <f t="shared" ref="W30" si="52">W28+W29</f>
        <v>-76.932000000000031</v>
      </c>
      <c r="X30" s="5">
        <f t="shared" ref="X30" si="53">X28+X29</f>
        <v>0</v>
      </c>
      <c r="Y30" s="5">
        <f t="shared" ref="Y30" si="54">Y28+Y29</f>
        <v>0</v>
      </c>
    </row>
    <row r="31" spans="2:25" s="4" customFormat="1" x14ac:dyDescent="0.25">
      <c r="B31" s="4" t="s">
        <v>1</v>
      </c>
      <c r="E31" s="4">
        <v>259.50624199999999</v>
      </c>
      <c r="F31" s="4">
        <v>264.62530800000002</v>
      </c>
      <c r="G31" s="4">
        <v>286.243674</v>
      </c>
      <c r="H31" s="4">
        <v>275.98</v>
      </c>
      <c r="I31" s="4">
        <v>329.50845800000002</v>
      </c>
      <c r="J31" s="4">
        <v>336.27838000000003</v>
      </c>
      <c r="T31" s="4">
        <v>139.43389999999999</v>
      </c>
      <c r="U31" s="4">
        <v>175.02600000000001</v>
      </c>
      <c r="V31" s="4">
        <v>275.98</v>
      </c>
    </row>
    <row r="32" spans="2:25" s="6" customFormat="1" x14ac:dyDescent="0.25">
      <c r="B32" s="6" t="s">
        <v>45</v>
      </c>
      <c r="C32" s="6" t="e">
        <f t="shared" ref="C32:I32" si="55">C30/C31</f>
        <v>#DIV/0!</v>
      </c>
      <c r="D32" s="6" t="e">
        <f t="shared" si="55"/>
        <v>#DIV/0!</v>
      </c>
      <c r="E32" s="6">
        <f t="shared" si="55"/>
        <v>0.81559502526339989</v>
      </c>
      <c r="F32" s="6">
        <f t="shared" si="55"/>
        <v>-0.3190775691038592</v>
      </c>
      <c r="G32" s="6">
        <f t="shared" si="55"/>
        <v>-0.53926781277968094</v>
      </c>
      <c r="H32" s="6">
        <f t="shared" si="55"/>
        <v>0.49470251467497639</v>
      </c>
      <c r="I32" s="6">
        <f t="shared" si="55"/>
        <v>-0.89921819245076862</v>
      </c>
      <c r="J32" s="6">
        <f>J30/J31</f>
        <v>0.65234048052687799</v>
      </c>
      <c r="K32" s="6" t="e">
        <f t="shared" ref="K32:P32" si="56">K30/K31</f>
        <v>#DIV/0!</v>
      </c>
      <c r="L32" s="6" t="e">
        <f t="shared" si="56"/>
        <v>#DIV/0!</v>
      </c>
      <c r="M32" s="6" t="e">
        <f t="shared" si="56"/>
        <v>#DIV/0!</v>
      </c>
      <c r="N32" s="6" t="e">
        <f t="shared" si="56"/>
        <v>#DIV/0!</v>
      </c>
      <c r="O32" s="6" t="e">
        <f t="shared" si="56"/>
        <v>#DIV/0!</v>
      </c>
      <c r="P32" s="6" t="e">
        <f t="shared" si="56"/>
        <v>#DIV/0!</v>
      </c>
      <c r="Q32" s="4"/>
      <c r="T32" s="6">
        <f t="shared" ref="T32" si="57">T30/T31</f>
        <v>-3.6543623896340849</v>
      </c>
      <c r="U32" s="6">
        <f t="shared" ref="U32" si="58">U30/U31</f>
        <v>-0.28264943494109457</v>
      </c>
      <c r="V32" s="6">
        <f t="shared" ref="V32" si="59">V30/V31</f>
        <v>0.39634031451554447</v>
      </c>
      <c r="W32" s="6" t="e">
        <f t="shared" ref="W32" si="60">W30/W31</f>
        <v>#DIV/0!</v>
      </c>
      <c r="X32" s="6" t="e">
        <f t="shared" ref="X32" si="61">X30/X31</f>
        <v>#DIV/0!</v>
      </c>
      <c r="Y32" s="6" t="e">
        <f t="shared" ref="Y32" si="62">Y30/Y31</f>
        <v>#DIV/0!</v>
      </c>
    </row>
    <row r="35" spans="2:23" s="7" customFormat="1" x14ac:dyDescent="0.25">
      <c r="B35" s="7" t="s">
        <v>46</v>
      </c>
      <c r="C35" s="7" t="e">
        <f t="shared" ref="C35:O35" si="63">C11/C6</f>
        <v>#DIV/0!</v>
      </c>
      <c r="D35" s="7" t="e">
        <f t="shared" si="63"/>
        <v>#DIV/0!</v>
      </c>
      <c r="E35" s="7">
        <f t="shared" si="63"/>
        <v>0.40622477804681184</v>
      </c>
      <c r="F35" s="7">
        <f t="shared" si="63"/>
        <v>0.23401034078898497</v>
      </c>
      <c r="G35" s="7">
        <f t="shared" si="63"/>
        <v>0.13975184582360284</v>
      </c>
      <c r="H35" s="7">
        <f t="shared" si="63"/>
        <v>0.37497194163860864</v>
      </c>
      <c r="I35" s="7">
        <f t="shared" si="63"/>
        <v>0.40774040040399784</v>
      </c>
      <c r="J35" s="7">
        <f t="shared" si="63"/>
        <v>0.40496640259366745</v>
      </c>
      <c r="K35" s="7" t="e">
        <f t="shared" si="63"/>
        <v>#DIV/0!</v>
      </c>
      <c r="L35" s="7" t="e">
        <f t="shared" si="63"/>
        <v>#DIV/0!</v>
      </c>
      <c r="M35" s="7" t="e">
        <f t="shared" si="63"/>
        <v>#DIV/0!</v>
      </c>
      <c r="N35" s="7" t="e">
        <f t="shared" si="63"/>
        <v>#DIV/0!</v>
      </c>
      <c r="O35" s="7" t="e">
        <f t="shared" si="63"/>
        <v>#DIV/0!</v>
      </c>
      <c r="P35" s="7" t="e">
        <f>P11/P6</f>
        <v>#DIV/0!</v>
      </c>
      <c r="T35" s="7">
        <f t="shared" ref="T35:W35" si="64">T11/T6</f>
        <v>0.252655582607622</v>
      </c>
      <c r="U35" s="7">
        <f t="shared" si="64"/>
        <v>9.3841631780529067E-2</v>
      </c>
      <c r="V35" s="7">
        <f t="shared" si="64"/>
        <v>0.3024005989550147</v>
      </c>
      <c r="W35" s="7">
        <f t="shared" si="64"/>
        <v>0.40639045725646117</v>
      </c>
    </row>
    <row r="36" spans="2:23" s="7" customFormat="1" x14ac:dyDescent="0.25">
      <c r="B36" s="7" t="s">
        <v>30</v>
      </c>
      <c r="C36" s="7" t="e">
        <f t="shared" ref="C36:I36" si="65">(C3-C7)/C3</f>
        <v>#DIV/0!</v>
      </c>
      <c r="D36" s="7" t="e">
        <f t="shared" si="65"/>
        <v>#DIV/0!</v>
      </c>
      <c r="E36" s="7">
        <f t="shared" si="65"/>
        <v>0.48808056473752032</v>
      </c>
      <c r="F36" s="7">
        <f t="shared" si="65"/>
        <v>0.36746771879483492</v>
      </c>
      <c r="G36" s="7">
        <f t="shared" si="65"/>
        <v>0.23735016520721278</v>
      </c>
      <c r="H36" s="7">
        <f t="shared" si="65"/>
        <v>0.47818413492358747</v>
      </c>
      <c r="I36" s="7">
        <f t="shared" si="65"/>
        <v>0.47628080834949149</v>
      </c>
      <c r="J36" s="7">
        <f>(J3-J7)/J3</f>
        <v>0.44513056377715798</v>
      </c>
      <c r="K36" s="7" t="e">
        <f t="shared" ref="K36:P36" si="66">(K3-K7)/K3</f>
        <v>#DIV/0!</v>
      </c>
      <c r="L36" s="7" t="e">
        <f t="shared" si="66"/>
        <v>#DIV/0!</v>
      </c>
      <c r="M36" s="7" t="e">
        <f t="shared" si="66"/>
        <v>#DIV/0!</v>
      </c>
      <c r="N36" s="7" t="e">
        <f t="shared" si="66"/>
        <v>#DIV/0!</v>
      </c>
      <c r="O36" s="7" t="e">
        <f t="shared" si="66"/>
        <v>#DIV/0!</v>
      </c>
      <c r="P36" s="7" t="e">
        <f t="shared" si="66"/>
        <v>#DIV/0!</v>
      </c>
      <c r="T36" s="7">
        <f t="shared" ref="T36:W36" si="67">(T3-T7)/T3</f>
        <v>0.52613629119653227</v>
      </c>
      <c r="U36" s="7">
        <f t="shared" si="67"/>
        <v>0.48887807149357665</v>
      </c>
      <c r="V36" s="7">
        <f t="shared" si="67"/>
        <v>0.41051713395638634</v>
      </c>
      <c r="W36" s="7">
        <f t="shared" si="67"/>
        <v>0.46081382071415494</v>
      </c>
    </row>
    <row r="37" spans="2:23" s="7" customFormat="1" x14ac:dyDescent="0.25">
      <c r="B37" s="7" t="s">
        <v>22</v>
      </c>
      <c r="C37" s="7" t="e">
        <f t="shared" ref="C37:I37" si="68">(C4-C8)/C4</f>
        <v>#DIV/0!</v>
      </c>
      <c r="D37" s="7" t="e">
        <f t="shared" si="68"/>
        <v>#DIV/0!</v>
      </c>
      <c r="E37" s="7">
        <f t="shared" si="68"/>
        <v>-0.28342245989304815</v>
      </c>
      <c r="F37" s="7">
        <f t="shared" si="68"/>
        <v>0.14199646826633436</v>
      </c>
      <c r="G37" s="7">
        <f t="shared" si="68"/>
        <v>-6.9552144326633925E-2</v>
      </c>
      <c r="H37" s="7">
        <f t="shared" si="68"/>
        <v>-0.20803393645571835</v>
      </c>
      <c r="I37" s="7">
        <f t="shared" si="68"/>
        <v>0.1522988505747126</v>
      </c>
      <c r="J37" s="7">
        <f>(J4-J8)/J4</f>
        <v>6.7889561270801813E-2</v>
      </c>
      <c r="K37" s="7" t="e">
        <f t="shared" ref="K37:P37" si="69">(K4-K8)/K4</f>
        <v>#DIV/0!</v>
      </c>
      <c r="L37" s="7" t="e">
        <f t="shared" si="69"/>
        <v>#DIV/0!</v>
      </c>
      <c r="M37" s="7" t="e">
        <f t="shared" si="69"/>
        <v>#DIV/0!</v>
      </c>
      <c r="N37" s="7" t="e">
        <f t="shared" si="69"/>
        <v>#DIV/0!</v>
      </c>
      <c r="O37" s="7" t="e">
        <f t="shared" si="69"/>
        <v>#DIV/0!</v>
      </c>
      <c r="P37" s="7" t="e">
        <f t="shared" si="69"/>
        <v>#DIV/0!</v>
      </c>
      <c r="T37" s="7">
        <f t="shared" ref="T37:W37" si="70">(T4-T8)/T4</f>
        <v>0.12070337608276455</v>
      </c>
      <c r="U37" s="7">
        <f t="shared" si="70"/>
        <v>5.7325038880248834E-2</v>
      </c>
      <c r="V37" s="7">
        <f t="shared" si="70"/>
        <v>-8.4175521550492377E-2</v>
      </c>
      <c r="W37" s="7">
        <f t="shared" si="70"/>
        <v>0.11585564990202485</v>
      </c>
    </row>
    <row r="38" spans="2:23" s="7" customFormat="1" x14ac:dyDescent="0.25"/>
    <row r="39" spans="2:23" s="7" customFormat="1" x14ac:dyDescent="0.25">
      <c r="B39" s="7" t="s">
        <v>47</v>
      </c>
      <c r="C39" s="7" t="e">
        <f t="shared" ref="C39:I39" si="71">C23/C6</f>
        <v>#DIV/0!</v>
      </c>
      <c r="D39" s="7" t="e">
        <f t="shared" si="71"/>
        <v>#DIV/0!</v>
      </c>
      <c r="E39" s="7">
        <f t="shared" si="71"/>
        <v>2.5703314164648909</v>
      </c>
      <c r="F39" s="7">
        <f t="shared" si="71"/>
        <v>-1.6714942725740569</v>
      </c>
      <c r="G39" s="7">
        <f t="shared" si="71"/>
        <v>-1.4331729294930766</v>
      </c>
      <c r="H39" s="7">
        <f t="shared" si="71"/>
        <v>1.3208894500561164</v>
      </c>
      <c r="I39" s="7">
        <f t="shared" si="71"/>
        <v>-1.4487350282240825</v>
      </c>
      <c r="J39" s="7">
        <f>J23/J6</f>
        <v>1.4125617695505535</v>
      </c>
      <c r="K39" s="7" t="e">
        <f t="shared" ref="K39:P39" si="72">K23/K6</f>
        <v>#DIV/0!</v>
      </c>
      <c r="L39" s="7" t="e">
        <f t="shared" si="72"/>
        <v>#DIV/0!</v>
      </c>
      <c r="M39" s="7" t="e">
        <f t="shared" si="72"/>
        <v>#DIV/0!</v>
      </c>
      <c r="N39" s="7" t="e">
        <f t="shared" si="72"/>
        <v>#DIV/0!</v>
      </c>
      <c r="O39" s="7" t="e">
        <f t="shared" si="72"/>
        <v>#DIV/0!</v>
      </c>
      <c r="P39" s="7" t="e">
        <f t="shared" si="72"/>
        <v>#DIV/0!</v>
      </c>
      <c r="T39" s="7">
        <f t="shared" ref="T39:W39" si="73">T23/T6</f>
        <v>-1.978211296788607</v>
      </c>
      <c r="U39" s="7">
        <f t="shared" si="73"/>
        <v>-0.22464772423621635</v>
      </c>
      <c r="V39" s="7">
        <f t="shared" si="73"/>
        <v>0.40775136995029937</v>
      </c>
      <c r="W39" s="7">
        <f t="shared" si="73"/>
        <v>-5.6308548707753564E-2</v>
      </c>
    </row>
    <row r="40" spans="2:23" s="7" customFormat="1" x14ac:dyDescent="0.25">
      <c r="B40" s="7" t="s">
        <v>48</v>
      </c>
      <c r="C40" s="7" t="e">
        <f t="shared" ref="C40:I40" si="74">SUM(C24:C27)/C23</f>
        <v>#DIV/0!</v>
      </c>
      <c r="D40" s="7" t="e">
        <f t="shared" si="74"/>
        <v>#DIV/0!</v>
      </c>
      <c r="E40" s="7">
        <f t="shared" si="74"/>
        <v>3.8333406928764531E-2</v>
      </c>
      <c r="F40" s="7">
        <f t="shared" si="74"/>
        <v>-0.27896742659876261</v>
      </c>
      <c r="G40" s="7">
        <f t="shared" si="74"/>
        <v>0.27006986906750718</v>
      </c>
      <c r="H40" s="7">
        <f t="shared" si="74"/>
        <v>-0.27136150733380776</v>
      </c>
      <c r="I40" s="7">
        <f t="shared" si="74"/>
        <v>0.26541549226498778</v>
      </c>
      <c r="J40" s="7">
        <f>SUM(J24:J27)/J23</f>
        <v>1.6579903287753633E-2</v>
      </c>
      <c r="K40" s="7" t="e">
        <f t="shared" ref="K40:P40" si="75">SUM(K24:K27)/K23</f>
        <v>#DIV/0!</v>
      </c>
      <c r="L40" s="7" t="e">
        <f t="shared" si="75"/>
        <v>#DIV/0!</v>
      </c>
      <c r="M40" s="7" t="e">
        <f t="shared" si="75"/>
        <v>#DIV/0!</v>
      </c>
      <c r="N40" s="7" t="e">
        <f t="shared" si="75"/>
        <v>#DIV/0!</v>
      </c>
      <c r="O40" s="7" t="e">
        <f t="shared" si="75"/>
        <v>#DIV/0!</v>
      </c>
      <c r="P40" s="7" t="e">
        <f t="shared" si="75"/>
        <v>#DIV/0!</v>
      </c>
      <c r="T40" s="7">
        <f t="shared" ref="T40:W40" si="76">SUM(T24:T27)/T23</f>
        <v>1.6766303552794546E-2</v>
      </c>
      <c r="U40" s="7">
        <f t="shared" si="76"/>
        <v>-0.13452175154235321</v>
      </c>
      <c r="V40" s="7">
        <f t="shared" si="76"/>
        <v>-0.28294982484926628</v>
      </c>
      <c r="W40" s="7">
        <f t="shared" si="76"/>
        <v>3.303186080668846</v>
      </c>
    </row>
    <row r="41" spans="2:23" s="7" customFormat="1" x14ac:dyDescent="0.25">
      <c r="B41" s="7" t="s">
        <v>49</v>
      </c>
      <c r="C41" s="7" t="e">
        <f t="shared" ref="C41:I41" si="77">-C29/C28</f>
        <v>#DIV/0!</v>
      </c>
      <c r="D41" s="7" t="e">
        <f t="shared" si="77"/>
        <v>#DIV/0!</v>
      </c>
      <c r="E41" s="7">
        <f t="shared" si="77"/>
        <v>-1.0395501582951378E-4</v>
      </c>
      <c r="F41" s="7">
        <f t="shared" si="77"/>
        <v>-6.5180550123843019E-4</v>
      </c>
      <c r="G41" s="7">
        <f t="shared" si="77"/>
        <v>-2.0734789088317241E-4</v>
      </c>
      <c r="H41" s="7">
        <f t="shared" si="77"/>
        <v>4.9487271057599104E-3</v>
      </c>
      <c r="I41" s="7">
        <f t="shared" si="77"/>
        <v>-1.4770349790274554E-3</v>
      </c>
      <c r="J41" s="7">
        <f>-J29/J28</f>
        <v>1.4566111940570259E-3</v>
      </c>
      <c r="K41" s="7" t="e">
        <f t="shared" ref="K41:P41" si="78">-K29/K28</f>
        <v>#DIV/0!</v>
      </c>
      <c r="L41" s="7" t="e">
        <f t="shared" si="78"/>
        <v>#DIV/0!</v>
      </c>
      <c r="M41" s="7" t="e">
        <f t="shared" si="78"/>
        <v>#DIV/0!</v>
      </c>
      <c r="N41" s="7" t="e">
        <f t="shared" si="78"/>
        <v>#DIV/0!</v>
      </c>
      <c r="O41" s="7" t="e">
        <f t="shared" si="78"/>
        <v>#DIV/0!</v>
      </c>
      <c r="P41" s="7" t="e">
        <f t="shared" si="78"/>
        <v>#DIV/0!</v>
      </c>
      <c r="T41" s="7">
        <f t="shared" ref="T41:W41" si="79">-T29/T28</f>
        <v>2.2538275166845388E-2</v>
      </c>
      <c r="U41" s="7">
        <f t="shared" si="79"/>
        <v>9.3456231331659617E-2</v>
      </c>
      <c r="V41" s="7">
        <f t="shared" si="79"/>
        <v>6.7558977898044079E-3</v>
      </c>
      <c r="W41" s="7">
        <f t="shared" si="79"/>
        <v>-9.9376435838529672E-3</v>
      </c>
    </row>
    <row r="42" spans="2:23" s="7" customFormat="1" x14ac:dyDescent="0.25">
      <c r="B42" s="7" t="s">
        <v>50</v>
      </c>
      <c r="C42" s="7" t="e">
        <f t="shared" ref="C42:I42" si="80">C30/C6</f>
        <v>#DIV/0!</v>
      </c>
      <c r="D42" s="7" t="e">
        <f t="shared" si="80"/>
        <v>#DIV/0!</v>
      </c>
      <c r="E42" s="7">
        <f t="shared" si="80"/>
        <v>2.6691384180790956</v>
      </c>
      <c r="F42" s="7">
        <f t="shared" si="80"/>
        <v>-1.2059873739537812</v>
      </c>
      <c r="G42" s="7">
        <f t="shared" si="80"/>
        <v>-1.8206071757129718</v>
      </c>
      <c r="H42" s="7">
        <f t="shared" si="80"/>
        <v>0.95768799102132407</v>
      </c>
      <c r="I42" s="7">
        <f t="shared" si="80"/>
        <v>-1.8359595258601995</v>
      </c>
      <c r="J42" s="7">
        <f>J30/J6</f>
        <v>1.4338902397573672</v>
      </c>
      <c r="K42" s="7" t="e">
        <f t="shared" ref="K42:P42" si="81">K30/K6</f>
        <v>#DIV/0!</v>
      </c>
      <c r="L42" s="7" t="e">
        <f t="shared" si="81"/>
        <v>#DIV/0!</v>
      </c>
      <c r="M42" s="7" t="e">
        <f t="shared" si="81"/>
        <v>#DIV/0!</v>
      </c>
      <c r="N42" s="7" t="e">
        <f t="shared" si="81"/>
        <v>#DIV/0!</v>
      </c>
      <c r="O42" s="7" t="e">
        <f t="shared" si="81"/>
        <v>#DIV/0!</v>
      </c>
      <c r="P42" s="7" t="e">
        <f t="shared" si="81"/>
        <v>#DIV/0!</v>
      </c>
      <c r="T42" s="7">
        <f t="shared" ref="T42:W42" si="82">T30/T6</f>
        <v>-1.9660455838037436</v>
      </c>
      <c r="U42" s="7">
        <f t="shared" si="82"/>
        <v>-0.17625723701790336</v>
      </c>
      <c r="V42" s="7">
        <f t="shared" si="82"/>
        <v>0.29040291406482299</v>
      </c>
      <c r="W42" s="7">
        <f t="shared" si="82"/>
        <v>-0.24471411530815118</v>
      </c>
    </row>
    <row r="43" spans="2:23" s="7" customFormat="1" x14ac:dyDescent="0.25"/>
    <row r="44" spans="2:23" s="7" customFormat="1" x14ac:dyDescent="0.25">
      <c r="B44" s="7" t="s">
        <v>51</v>
      </c>
      <c r="G44" s="7" t="e">
        <f t="shared" ref="G44:I44" si="83">G3/C3-1</f>
        <v>#DIV/0!</v>
      </c>
      <c r="H44" s="7" t="e">
        <f t="shared" si="83"/>
        <v>#DIV/0!</v>
      </c>
      <c r="I44" s="7">
        <f t="shared" si="83"/>
        <v>1.000938427923133</v>
      </c>
      <c r="J44" s="7">
        <f>J6/F6-1</f>
        <v>1.1851058359756621</v>
      </c>
      <c r="K44" s="7">
        <f t="shared" ref="K44:P44" si="84">K3/G3-1</f>
        <v>-1</v>
      </c>
      <c r="L44" s="7">
        <f t="shared" si="84"/>
        <v>-1</v>
      </c>
      <c r="M44" s="7">
        <f t="shared" si="84"/>
        <v>-1</v>
      </c>
      <c r="N44" s="7">
        <f t="shared" si="84"/>
        <v>-1</v>
      </c>
      <c r="O44" s="7" t="e">
        <f t="shared" si="84"/>
        <v>#DIV/0!</v>
      </c>
      <c r="P44" s="7" t="e">
        <f t="shared" si="84"/>
        <v>#DIV/0!</v>
      </c>
      <c r="U44" s="7">
        <f t="shared" ref="U44" si="85">U6/T6-1</f>
        <v>8.2972246123216076E-2</v>
      </c>
      <c r="V44" s="7">
        <f>V6/U6-1</f>
        <v>0.34196490603010599</v>
      </c>
      <c r="W44" s="7">
        <f t="shared" ref="W44" si="86">W6/V6-1</f>
        <v>-0.16535247015844701</v>
      </c>
    </row>
    <row r="45" spans="2:23" s="7" customFormat="1" x14ac:dyDescent="0.25">
      <c r="B45" s="7" t="s">
        <v>30</v>
      </c>
      <c r="G45" s="7" t="e">
        <f t="shared" ref="G45:I46" si="87">G3/C3-1</f>
        <v>#DIV/0!</v>
      </c>
      <c r="H45" s="7" t="e">
        <f t="shared" si="87"/>
        <v>#DIV/0!</v>
      </c>
      <c r="I45" s="7">
        <f t="shared" si="87"/>
        <v>1.000938427923133</v>
      </c>
      <c r="J45" s="7">
        <f>J3/F3-1</f>
        <v>1.526703730272597</v>
      </c>
      <c r="K45" s="7">
        <f t="shared" ref="K45:P46" si="88">K3/G3-1</f>
        <v>-1</v>
      </c>
      <c r="L45" s="7">
        <f t="shared" si="88"/>
        <v>-1</v>
      </c>
      <c r="M45" s="7">
        <f t="shared" si="88"/>
        <v>-1</v>
      </c>
      <c r="N45" s="7">
        <f t="shared" si="88"/>
        <v>-1</v>
      </c>
      <c r="O45" s="7" t="e">
        <f t="shared" si="88"/>
        <v>#DIV/0!</v>
      </c>
      <c r="P45" s="7" t="e">
        <f t="shared" si="88"/>
        <v>#DIV/0!</v>
      </c>
      <c r="U45" s="7">
        <f t="shared" ref="U45" si="89">U3/T3-1</f>
        <v>0.20479377828775425</v>
      </c>
      <c r="V45" s="7">
        <f>V3/U3-1</f>
        <v>0.69844864441575472</v>
      </c>
      <c r="W45" s="7">
        <f t="shared" ref="W45" si="90">W3/V3-1</f>
        <v>-0.11604984423676001</v>
      </c>
    </row>
    <row r="46" spans="2:23" s="7" customFormat="1" x14ac:dyDescent="0.25">
      <c r="B46" s="7" t="s">
        <v>22</v>
      </c>
      <c r="G46" s="7" t="e">
        <f t="shared" si="87"/>
        <v>#DIV/0!</v>
      </c>
      <c r="H46" s="7" t="e">
        <f t="shared" si="87"/>
        <v>#DIV/0!</v>
      </c>
      <c r="I46" s="7">
        <f t="shared" si="87"/>
        <v>1.9775401069518717</v>
      </c>
      <c r="J46" s="7">
        <f>J4/F4-1</f>
        <v>9.8576919081749148E-2</v>
      </c>
      <c r="K46" s="7">
        <f t="shared" si="88"/>
        <v>-1</v>
      </c>
      <c r="L46" s="7">
        <f t="shared" si="88"/>
        <v>-1</v>
      </c>
      <c r="M46" s="7">
        <f t="shared" si="88"/>
        <v>-1</v>
      </c>
      <c r="N46" s="7">
        <f t="shared" si="88"/>
        <v>-1</v>
      </c>
      <c r="O46" s="7" t="e">
        <f t="shared" si="88"/>
        <v>#DIV/0!</v>
      </c>
      <c r="P46" s="7" t="e">
        <f t="shared" si="88"/>
        <v>#DIV/0!</v>
      </c>
      <c r="U46" s="7">
        <f t="shared" ref="U46:V46" si="91">U4/T4-1</f>
        <v>-1.5946864191484833E-2</v>
      </c>
      <c r="V46" s="7">
        <f t="shared" si="91"/>
        <v>-0.40138413685847585</v>
      </c>
      <c r="W46" s="7">
        <f t="shared" ref="W46" si="92">W4/V4-1</f>
        <v>-0.36359148891948756</v>
      </c>
    </row>
    <row r="48" spans="2:23" s="7" customFormat="1" x14ac:dyDescent="0.25">
      <c r="B48" s="7" t="s">
        <v>52</v>
      </c>
      <c r="C48" s="7" t="e">
        <f t="shared" ref="C48:O48" si="93">C3/C$6</f>
        <v>#DIV/0!</v>
      </c>
      <c r="D48" s="7" t="e">
        <f t="shared" si="93"/>
        <v>#DIV/0!</v>
      </c>
      <c r="E48" s="7">
        <f t="shared" si="93"/>
        <v>0.90037328490718327</v>
      </c>
      <c r="F48" s="7">
        <f t="shared" si="93"/>
        <v>0.79641214614220013</v>
      </c>
      <c r="G48" s="7">
        <f t="shared" si="93"/>
        <v>0.79601585167362532</v>
      </c>
      <c r="H48" s="7">
        <f t="shared" si="93"/>
        <v>0.88631453423120088</v>
      </c>
      <c r="I48" s="7">
        <f t="shared" si="93"/>
        <v>0.88519521398873524</v>
      </c>
      <c r="J48" s="7">
        <f t="shared" si="93"/>
        <v>0.92091536591105194</v>
      </c>
      <c r="K48" s="7" t="e">
        <f t="shared" si="93"/>
        <v>#DIV/0!</v>
      </c>
      <c r="L48" s="7" t="e">
        <f t="shared" si="93"/>
        <v>#DIV/0!</v>
      </c>
      <c r="M48" s="7" t="e">
        <f t="shared" si="93"/>
        <v>#DIV/0!</v>
      </c>
      <c r="N48" s="7" t="e">
        <f t="shared" si="93"/>
        <v>#DIV/0!</v>
      </c>
      <c r="O48" s="7" t="e">
        <f t="shared" si="93"/>
        <v>#DIV/0!</v>
      </c>
      <c r="P48" s="7" t="e">
        <f>P3/P$6</f>
        <v>#DIV/0!</v>
      </c>
      <c r="T48" s="7">
        <f t="shared" ref="T48:W48" si="94">T3/T$6</f>
        <v>0.60527605326213196</v>
      </c>
      <c r="U48" s="7">
        <f t="shared" si="94"/>
        <v>0.67336242985659567</v>
      </c>
      <c r="V48" s="7">
        <f t="shared" si="94"/>
        <v>0.85223652351217027</v>
      </c>
      <c r="W48" s="7">
        <f t="shared" si="94"/>
        <v>0.90257813121272379</v>
      </c>
    </row>
    <row r="49" spans="2:23" s="7" customFormat="1" x14ac:dyDescent="0.25">
      <c r="B49" s="7" t="s">
        <v>53</v>
      </c>
      <c r="C49" s="7" t="e">
        <f t="shared" ref="C49:P49" si="95">C4/C$6</f>
        <v>#DIV/0!</v>
      </c>
      <c r="D49" s="7" t="e">
        <f t="shared" si="95"/>
        <v>#DIV/0!</v>
      </c>
      <c r="E49" s="7">
        <f t="shared" si="95"/>
        <v>5.895631557707829E-2</v>
      </c>
      <c r="F49" s="7">
        <f t="shared" si="95"/>
        <v>0.13750107121432859</v>
      </c>
      <c r="G49" s="7">
        <f t="shared" si="95"/>
        <v>0.14905762743849221</v>
      </c>
      <c r="H49" s="7">
        <f t="shared" si="95"/>
        <v>8.1025533108866413E-2</v>
      </c>
      <c r="I49" s="7">
        <f t="shared" si="95"/>
        <v>8.6252300371157525E-2</v>
      </c>
      <c r="J49" s="7">
        <f t="shared" si="95"/>
        <v>6.9129604936334882E-2</v>
      </c>
      <c r="K49" s="7" t="e">
        <f t="shared" si="95"/>
        <v>#DIV/0!</v>
      </c>
      <c r="L49" s="7" t="e">
        <f t="shared" si="95"/>
        <v>#DIV/0!</v>
      </c>
      <c r="M49" s="7" t="e">
        <f t="shared" si="95"/>
        <v>#DIV/0!</v>
      </c>
      <c r="N49" s="7" t="e">
        <f t="shared" si="95"/>
        <v>#DIV/0!</v>
      </c>
      <c r="O49" s="7" t="e">
        <f t="shared" si="95"/>
        <v>#DIV/0!</v>
      </c>
      <c r="P49" s="7" t="e">
        <f t="shared" si="95"/>
        <v>#DIV/0!</v>
      </c>
      <c r="T49" s="7">
        <f t="shared" ref="T49:W49" si="96">T4/T$6</f>
        <v>0.25211925716997657</v>
      </c>
      <c r="U49" s="7">
        <f t="shared" si="96"/>
        <v>0.22909058519640152</v>
      </c>
      <c r="V49" s="7">
        <f t="shared" si="96"/>
        <v>0.10219138949067584</v>
      </c>
      <c r="W49" s="7">
        <f t="shared" si="96"/>
        <v>7.7919681908548713E-2</v>
      </c>
    </row>
    <row r="50" spans="2:23" s="7" customFormat="1" x14ac:dyDescent="0.25">
      <c r="B50" s="7" t="s">
        <v>54</v>
      </c>
      <c r="C50" s="7" t="e">
        <f t="shared" ref="C50:P50" si="97">C5/C$6</f>
        <v>#DIV/0!</v>
      </c>
      <c r="D50" s="7" t="e">
        <f t="shared" si="97"/>
        <v>#DIV/0!</v>
      </c>
      <c r="E50" s="7">
        <f t="shared" si="97"/>
        <v>4.0670399515738503E-2</v>
      </c>
      <c r="F50" s="7">
        <f t="shared" si="97"/>
        <v>6.6086782643471301E-2</v>
      </c>
      <c r="G50" s="7">
        <f t="shared" si="97"/>
        <v>5.4926520887882434E-2</v>
      </c>
      <c r="H50" s="7">
        <f t="shared" si="97"/>
        <v>3.2659932659932646E-2</v>
      </c>
      <c r="I50" s="7">
        <f t="shared" si="97"/>
        <v>2.8552485640107317E-2</v>
      </c>
      <c r="J50" s="7">
        <f t="shared" si="97"/>
        <v>9.9550291526132768E-3</v>
      </c>
      <c r="K50" s="7" t="e">
        <f t="shared" si="97"/>
        <v>#DIV/0!</v>
      </c>
      <c r="L50" s="7" t="e">
        <f t="shared" si="97"/>
        <v>#DIV/0!</v>
      </c>
      <c r="M50" s="7" t="e">
        <f t="shared" si="97"/>
        <v>#DIV/0!</v>
      </c>
      <c r="N50" s="7" t="e">
        <f t="shared" si="97"/>
        <v>#DIV/0!</v>
      </c>
      <c r="O50" s="7" t="e">
        <f t="shared" si="97"/>
        <v>#DIV/0!</v>
      </c>
      <c r="P50" s="7" t="e">
        <f t="shared" si="97"/>
        <v>#DIV/0!</v>
      </c>
      <c r="T50" s="7">
        <f t="shared" ref="T50:W50" si="98">T5/T$6</f>
        <v>0.14260468956789149</v>
      </c>
      <c r="U50" s="7">
        <f t="shared" si="98"/>
        <v>9.7546984947002757E-2</v>
      </c>
      <c r="V50" s="7">
        <f t="shared" si="98"/>
        <v>4.5572086997153899E-2</v>
      </c>
      <c r="W50" s="7">
        <f t="shared" si="98"/>
        <v>1.9502186878727634E-2</v>
      </c>
    </row>
    <row r="54" spans="2:23" s="4" customFormat="1" x14ac:dyDescent="0.25">
      <c r="B54" s="4" t="s">
        <v>56</v>
      </c>
      <c r="C54" s="4">
        <f t="shared" ref="C54:I54" si="99">+C55+C56+C61-C78-C83</f>
        <v>0</v>
      </c>
      <c r="D54" s="4">
        <f t="shared" si="99"/>
        <v>596.38600000000008</v>
      </c>
      <c r="E54" s="4">
        <f t="shared" si="99"/>
        <v>0</v>
      </c>
      <c r="F54" s="4">
        <f t="shared" si="99"/>
        <v>0</v>
      </c>
      <c r="G54" s="4">
        <f t="shared" si="99"/>
        <v>612.24999999999989</v>
      </c>
      <c r="H54" s="4">
        <f t="shared" si="99"/>
        <v>-99.05299999999994</v>
      </c>
      <c r="I54" s="4">
        <f t="shared" si="99"/>
        <v>-276.464</v>
      </c>
      <c r="J54" s="4">
        <f>+J55+J56+J61-J78-J83</f>
        <v>-442.60900000000004</v>
      </c>
      <c r="K54" s="4">
        <f t="shared" ref="K54:P54" si="100">+K55+K56+K61-K78-K83</f>
        <v>0</v>
      </c>
      <c r="L54" s="4">
        <f t="shared" si="100"/>
        <v>0</v>
      </c>
      <c r="M54" s="4">
        <f t="shared" si="100"/>
        <v>0</v>
      </c>
      <c r="N54" s="4">
        <f t="shared" si="100"/>
        <v>0</v>
      </c>
      <c r="O54" s="4">
        <f t="shared" si="100"/>
        <v>0</v>
      </c>
      <c r="P54" s="4">
        <f t="shared" si="100"/>
        <v>0</v>
      </c>
    </row>
    <row r="55" spans="2:23" s="4" customFormat="1" x14ac:dyDescent="0.25">
      <c r="B55" s="4" t="s">
        <v>55</v>
      </c>
      <c r="D55" s="4">
        <v>597.16899999999998</v>
      </c>
      <c r="G55" s="4">
        <v>355.7</v>
      </c>
      <c r="H55" s="4">
        <v>277.86</v>
      </c>
      <c r="I55" s="4">
        <v>163.69999999999999</v>
      </c>
      <c r="J55" s="4">
        <v>255.37100000000001</v>
      </c>
    </row>
    <row r="56" spans="2:23" s="4" customFormat="1" x14ac:dyDescent="0.25">
      <c r="B56" s="4" t="s">
        <v>57</v>
      </c>
      <c r="D56" s="4">
        <v>0</v>
      </c>
      <c r="G56" s="4">
        <v>72.673000000000002</v>
      </c>
      <c r="H56" s="4">
        <v>73.441000000000003</v>
      </c>
      <c r="I56" s="4">
        <v>74.150000000000006</v>
      </c>
      <c r="J56" s="4">
        <v>74.87</v>
      </c>
    </row>
    <row r="57" spans="2:23" s="4" customFormat="1" x14ac:dyDescent="0.25">
      <c r="B57" s="4" t="s">
        <v>58</v>
      </c>
      <c r="D57" s="4">
        <v>24.706</v>
      </c>
      <c r="G57" s="4">
        <v>15.348000000000001</v>
      </c>
      <c r="H57" s="4">
        <v>27.123999999999999</v>
      </c>
      <c r="I57" s="4">
        <v>19.5</v>
      </c>
      <c r="J57" s="4">
        <v>25.427</v>
      </c>
    </row>
    <row r="58" spans="2:23" s="4" customFormat="1" x14ac:dyDescent="0.25">
      <c r="B58" s="4" t="s">
        <v>59</v>
      </c>
      <c r="D58" s="4">
        <v>15.359</v>
      </c>
      <c r="G58" s="4">
        <v>15.368</v>
      </c>
      <c r="H58" s="4">
        <v>6.5</v>
      </c>
      <c r="I58" s="4">
        <v>8.4</v>
      </c>
      <c r="J58" s="4">
        <v>6.5</v>
      </c>
    </row>
    <row r="59" spans="2:23" s="4" customFormat="1" x14ac:dyDescent="0.25">
      <c r="B59" s="4" t="s">
        <v>60</v>
      </c>
      <c r="D59" s="4">
        <f>29.107+0.271</f>
        <v>29.378</v>
      </c>
      <c r="G59" s="22">
        <v>30.638000000000002</v>
      </c>
      <c r="H59" s="4">
        <v>40.287999999999997</v>
      </c>
      <c r="I59" s="4">
        <v>45.17</v>
      </c>
      <c r="J59" s="4">
        <v>50.2</v>
      </c>
    </row>
    <row r="60" spans="2:23" s="4" customFormat="1" x14ac:dyDescent="0.25">
      <c r="B60" s="4" t="s">
        <v>61</v>
      </c>
      <c r="D60" s="4">
        <v>30.780999999999999</v>
      </c>
      <c r="G60" s="4">
        <v>36.994999999999997</v>
      </c>
      <c r="H60" s="4">
        <v>40</v>
      </c>
      <c r="I60" s="4">
        <v>67.5</v>
      </c>
      <c r="J60" s="4">
        <v>41.2</v>
      </c>
    </row>
    <row r="61" spans="2:23" s="4" customFormat="1" x14ac:dyDescent="0.25">
      <c r="B61" s="4" t="s">
        <v>62</v>
      </c>
      <c r="D61" s="4">
        <v>0</v>
      </c>
      <c r="G61" s="4">
        <v>190.13399999999999</v>
      </c>
      <c r="H61" s="4">
        <v>134.26</v>
      </c>
      <c r="I61" s="4">
        <v>71</v>
      </c>
      <c r="J61" s="4">
        <v>65.5</v>
      </c>
    </row>
    <row r="62" spans="2:23" s="4" customFormat="1" x14ac:dyDescent="0.25">
      <c r="B62" s="4" t="s">
        <v>63</v>
      </c>
      <c r="D62" s="4">
        <v>704.19399999999996</v>
      </c>
      <c r="G62" s="4">
        <v>1173.2750000000001</v>
      </c>
      <c r="H62" s="4">
        <v>1338.8</v>
      </c>
      <c r="I62" s="4">
        <v>1307</v>
      </c>
      <c r="J62" s="4">
        <v>1301.7</v>
      </c>
    </row>
    <row r="63" spans="2:23" s="4" customFormat="1" x14ac:dyDescent="0.25">
      <c r="B63" s="4" t="s">
        <v>30</v>
      </c>
      <c r="D63" s="4">
        <v>311.178</v>
      </c>
      <c r="G63" s="4">
        <v>660.35</v>
      </c>
      <c r="H63" s="4">
        <v>1654.46</v>
      </c>
      <c r="I63" s="4">
        <v>1586.54</v>
      </c>
      <c r="J63" s="4">
        <v>1711.9</v>
      </c>
    </row>
    <row r="64" spans="2:23" s="4" customFormat="1" x14ac:dyDescent="0.25">
      <c r="B64" s="4" t="s">
        <v>64</v>
      </c>
      <c r="D64" s="4">
        <v>0</v>
      </c>
      <c r="G64" s="4">
        <v>0</v>
      </c>
      <c r="H64" s="4">
        <v>0</v>
      </c>
      <c r="I64" s="4">
        <v>0</v>
      </c>
      <c r="J64" s="4">
        <v>353.7</v>
      </c>
    </row>
    <row r="65" spans="2:16" s="4" customFormat="1" x14ac:dyDescent="0.25">
      <c r="B65" s="4" t="s">
        <v>65</v>
      </c>
      <c r="D65" s="4">
        <v>215.00899999999999</v>
      </c>
      <c r="G65" s="4">
        <v>136.376</v>
      </c>
      <c r="H65" s="4">
        <v>30.1</v>
      </c>
      <c r="I65" s="4">
        <v>45.23</v>
      </c>
      <c r="J65" s="4">
        <v>88.7</v>
      </c>
    </row>
    <row r="66" spans="2:16" s="4" customFormat="1" x14ac:dyDescent="0.25">
      <c r="B66" s="4" t="s">
        <v>66</v>
      </c>
      <c r="D66" s="4">
        <v>15.696999999999999</v>
      </c>
      <c r="G66" s="4">
        <v>11.331</v>
      </c>
      <c r="H66" s="4">
        <v>34</v>
      </c>
      <c r="I66" s="4">
        <v>33</v>
      </c>
      <c r="J66" s="4">
        <v>32</v>
      </c>
    </row>
    <row r="67" spans="2:16" s="4" customFormat="1" x14ac:dyDescent="0.25">
      <c r="B67" s="4" t="s">
        <v>67</v>
      </c>
      <c r="D67" s="4">
        <v>73.436999999999998</v>
      </c>
      <c r="G67" s="4">
        <v>90.620999999999995</v>
      </c>
      <c r="H67" s="4">
        <v>109.5</v>
      </c>
      <c r="I67" s="4">
        <v>123.8</v>
      </c>
      <c r="J67" s="4">
        <v>107.4</v>
      </c>
    </row>
    <row r="68" spans="2:16" s="4" customFormat="1" x14ac:dyDescent="0.25">
      <c r="B68" s="4" t="s">
        <v>68</v>
      </c>
      <c r="D68" s="4">
        <v>20.413</v>
      </c>
      <c r="G68" s="4">
        <v>23.555</v>
      </c>
      <c r="H68" s="4">
        <v>27.5</v>
      </c>
      <c r="I68" s="4">
        <v>32.19</v>
      </c>
      <c r="J68" s="4">
        <v>30.8</v>
      </c>
    </row>
    <row r="69" spans="2:16" s="4" customFormat="1" x14ac:dyDescent="0.25">
      <c r="B69" s="4" t="s">
        <v>69</v>
      </c>
      <c r="D69" s="4">
        <v>0</v>
      </c>
      <c r="G69" s="4">
        <v>96.763000000000005</v>
      </c>
      <c r="H69" s="4">
        <v>121.9</v>
      </c>
      <c r="I69" s="4">
        <v>122.15</v>
      </c>
      <c r="J69" s="4">
        <v>122.5</v>
      </c>
    </row>
    <row r="70" spans="2:16" s="4" customFormat="1" x14ac:dyDescent="0.25">
      <c r="B70" s="4" t="s">
        <v>70</v>
      </c>
      <c r="D70" s="4">
        <f>13.121+0.638</f>
        <v>13.759</v>
      </c>
      <c r="G70" s="4">
        <f>12.571+0.589</f>
        <v>13.16</v>
      </c>
      <c r="H70" s="4">
        <v>19.5</v>
      </c>
      <c r="I70" s="4">
        <v>19.434000000000001</v>
      </c>
      <c r="J70" s="4">
        <v>20.539000000000001</v>
      </c>
    </row>
    <row r="71" spans="2:16" s="5" customFormat="1" x14ac:dyDescent="0.25">
      <c r="B71" s="5" t="s">
        <v>71</v>
      </c>
      <c r="C71" s="5">
        <f t="shared" ref="C71:I71" si="101">SUM(C55:C70)</f>
        <v>0</v>
      </c>
      <c r="D71" s="5">
        <f t="shared" si="101"/>
        <v>2051.0799999999995</v>
      </c>
      <c r="E71" s="5">
        <f t="shared" si="101"/>
        <v>0</v>
      </c>
      <c r="F71" s="5">
        <f t="shared" si="101"/>
        <v>0</v>
      </c>
      <c r="G71" s="5">
        <f t="shared" si="101"/>
        <v>2922.2870000000003</v>
      </c>
      <c r="H71" s="5">
        <f t="shared" si="101"/>
        <v>3935.2330000000002</v>
      </c>
      <c r="I71" s="5">
        <f t="shared" si="101"/>
        <v>3718.7640000000006</v>
      </c>
      <c r="J71" s="5">
        <f>SUM(J55:J70)</f>
        <v>4288.3069999999998</v>
      </c>
      <c r="K71" s="5">
        <f t="shared" ref="K71:P71" si="102">SUM(K55:K70)</f>
        <v>0</v>
      </c>
      <c r="L71" s="5">
        <f t="shared" si="102"/>
        <v>0</v>
      </c>
      <c r="M71" s="5">
        <f t="shared" si="102"/>
        <v>0</v>
      </c>
      <c r="N71" s="5">
        <f t="shared" si="102"/>
        <v>0</v>
      </c>
      <c r="O71" s="5">
        <f t="shared" si="102"/>
        <v>0</v>
      </c>
      <c r="P71" s="5">
        <f t="shared" si="102"/>
        <v>0</v>
      </c>
    </row>
    <row r="72" spans="2:16" s="4" customFormat="1" x14ac:dyDescent="0.25">
      <c r="B72" s="4" t="s">
        <v>72</v>
      </c>
      <c r="D72" s="4">
        <v>23.157</v>
      </c>
      <c r="G72" s="4">
        <v>12.512</v>
      </c>
      <c r="H72" s="4">
        <v>17.600000000000001</v>
      </c>
      <c r="I72" s="4">
        <v>7.9</v>
      </c>
      <c r="J72" s="4">
        <v>18.05</v>
      </c>
    </row>
    <row r="73" spans="2:16" s="4" customFormat="1" x14ac:dyDescent="0.25">
      <c r="B73" s="4" t="s">
        <v>73</v>
      </c>
      <c r="D73" s="4">
        <v>4.0730000000000004</v>
      </c>
      <c r="G73" s="4">
        <v>8.8000000000000007</v>
      </c>
      <c r="H73" s="4">
        <v>9.6440000000000001</v>
      </c>
      <c r="I73" s="4">
        <v>8.8000000000000007</v>
      </c>
      <c r="J73" s="4">
        <v>21.6</v>
      </c>
    </row>
    <row r="74" spans="2:16" s="4" customFormat="1" x14ac:dyDescent="0.25">
      <c r="B74" s="4" t="s">
        <v>74</v>
      </c>
      <c r="D74" s="4">
        <v>62.371000000000002</v>
      </c>
      <c r="G74" s="4">
        <v>45.351999999999997</v>
      </c>
      <c r="H74" s="4">
        <v>75.67</v>
      </c>
      <c r="I74" s="4">
        <v>72.3</v>
      </c>
      <c r="J74" s="4">
        <v>70</v>
      </c>
    </row>
    <row r="75" spans="2:16" s="4" customFormat="1" x14ac:dyDescent="0.25">
      <c r="B75" s="4" t="s">
        <v>75</v>
      </c>
      <c r="D75" s="4">
        <v>26.007000000000001</v>
      </c>
      <c r="G75" s="4">
        <v>26</v>
      </c>
      <c r="H75" s="4">
        <v>26</v>
      </c>
      <c r="I75" s="4">
        <v>26</v>
      </c>
      <c r="J75" s="4">
        <v>0</v>
      </c>
    </row>
    <row r="76" spans="2:16" s="4" customFormat="1" x14ac:dyDescent="0.25">
      <c r="B76" s="4" t="s">
        <v>76</v>
      </c>
      <c r="D76" s="4">
        <v>2.4580000000000002</v>
      </c>
      <c r="G76" s="4">
        <v>2.5</v>
      </c>
      <c r="H76" s="4">
        <v>2.9</v>
      </c>
      <c r="I76" s="4">
        <v>2.68</v>
      </c>
      <c r="J76" s="4">
        <v>0.8</v>
      </c>
    </row>
    <row r="77" spans="2:16" s="4" customFormat="1" x14ac:dyDescent="0.25">
      <c r="B77" s="4" t="s">
        <v>77</v>
      </c>
      <c r="D77" s="4">
        <v>0.27100000000000002</v>
      </c>
      <c r="G77" s="4">
        <v>26.085000000000001</v>
      </c>
      <c r="H77" s="4">
        <v>23.6</v>
      </c>
      <c r="I77" s="4">
        <v>15.5</v>
      </c>
      <c r="J77" s="4">
        <v>6</v>
      </c>
    </row>
    <row r="78" spans="2:16" s="4" customFormat="1" x14ac:dyDescent="0.25">
      <c r="B78" s="4" t="s">
        <v>78</v>
      </c>
      <c r="D78" s="4">
        <v>0.25700000000000001</v>
      </c>
      <c r="G78" s="4">
        <v>0.65700000000000003</v>
      </c>
      <c r="H78" s="4">
        <v>0.314</v>
      </c>
      <c r="I78" s="4">
        <v>0.314</v>
      </c>
      <c r="J78" s="4">
        <v>252.6</v>
      </c>
    </row>
    <row r="79" spans="2:16" s="4" customFormat="1" x14ac:dyDescent="0.25">
      <c r="B79" s="4" t="s">
        <v>79</v>
      </c>
      <c r="D79" s="4">
        <v>2.4209999999999998</v>
      </c>
      <c r="G79" s="4">
        <v>4.2910000000000004</v>
      </c>
      <c r="H79" s="4">
        <v>4.5999999999999996</v>
      </c>
      <c r="I79" s="4">
        <v>5.7</v>
      </c>
      <c r="J79" s="4">
        <v>5.7</v>
      </c>
    </row>
    <row r="80" spans="2:16" s="4" customFormat="1" x14ac:dyDescent="0.25">
      <c r="B80" s="4" t="s">
        <v>80</v>
      </c>
      <c r="D80" s="4">
        <v>15.801</v>
      </c>
      <c r="G80" s="4">
        <v>14.156000000000001</v>
      </c>
      <c r="H80" s="4">
        <v>13.6</v>
      </c>
      <c r="I80" s="4">
        <v>13</v>
      </c>
      <c r="J80" s="4">
        <v>0.24</v>
      </c>
    </row>
    <row r="81" spans="2:16" s="4" customFormat="1" x14ac:dyDescent="0.25">
      <c r="B81" s="4" t="s">
        <v>81</v>
      </c>
      <c r="D81" s="4">
        <v>18.923999999999999</v>
      </c>
      <c r="G81" s="4">
        <v>20.55</v>
      </c>
      <c r="H81" s="4">
        <v>23.9</v>
      </c>
      <c r="I81" s="4">
        <v>27.58</v>
      </c>
      <c r="J81" s="4">
        <v>25.4</v>
      </c>
    </row>
    <row r="82" spans="2:16" s="4" customFormat="1" x14ac:dyDescent="0.25">
      <c r="B82" s="4" t="s">
        <v>82</v>
      </c>
      <c r="D82" s="4">
        <v>0.63800000000000001</v>
      </c>
      <c r="G82" s="4">
        <v>0.58899999999999997</v>
      </c>
      <c r="H82" s="4">
        <v>3.2</v>
      </c>
      <c r="I82" s="4">
        <v>3.1</v>
      </c>
      <c r="J82" s="4">
        <v>3.1</v>
      </c>
    </row>
    <row r="83" spans="2:16" s="4" customFormat="1" x14ac:dyDescent="0.25">
      <c r="B83" s="4" t="s">
        <v>83</v>
      </c>
      <c r="D83" s="4">
        <v>0.52600000000000002</v>
      </c>
      <c r="G83" s="4">
        <v>5.6</v>
      </c>
      <c r="H83" s="4">
        <v>584.29999999999995</v>
      </c>
      <c r="I83" s="4">
        <v>585</v>
      </c>
      <c r="J83" s="4">
        <v>585.75</v>
      </c>
    </row>
    <row r="84" spans="2:16" s="4" customFormat="1" x14ac:dyDescent="0.25">
      <c r="B84" s="4" t="s">
        <v>84</v>
      </c>
      <c r="D84" s="5">
        <v>6.1539999999999999</v>
      </c>
      <c r="G84" s="4">
        <v>6.1440000000000001</v>
      </c>
      <c r="H84" s="4">
        <v>6.2</v>
      </c>
      <c r="I84" s="4">
        <v>6.2</v>
      </c>
      <c r="J84" s="4">
        <v>3.4000000000000002E-2</v>
      </c>
    </row>
    <row r="85" spans="2:16" s="5" customFormat="1" x14ac:dyDescent="0.25">
      <c r="B85" s="5" t="s">
        <v>85</v>
      </c>
      <c r="C85" s="5">
        <f t="shared" ref="C85:I85" si="103">SUM(C72:C84)</f>
        <v>0</v>
      </c>
      <c r="D85" s="5">
        <f t="shared" si="103"/>
        <v>163.05800000000002</v>
      </c>
      <c r="E85" s="5">
        <f t="shared" si="103"/>
        <v>0</v>
      </c>
      <c r="F85" s="5">
        <f t="shared" si="103"/>
        <v>0</v>
      </c>
      <c r="G85" s="5">
        <f t="shared" si="103"/>
        <v>173.23599999999999</v>
      </c>
      <c r="H85" s="5">
        <f t="shared" si="103"/>
        <v>791.52800000000002</v>
      </c>
      <c r="I85" s="5">
        <f t="shared" si="103"/>
        <v>774.07400000000007</v>
      </c>
      <c r="J85" s="5">
        <f>SUM(J72:J84)</f>
        <v>989.274</v>
      </c>
      <c r="K85" s="5">
        <f t="shared" ref="K85:P85" si="104">SUM(K72:K84)</f>
        <v>0</v>
      </c>
      <c r="L85" s="5">
        <f t="shared" si="104"/>
        <v>0</v>
      </c>
      <c r="M85" s="5">
        <f t="shared" si="104"/>
        <v>0</v>
      </c>
      <c r="N85" s="5">
        <f t="shared" si="104"/>
        <v>0</v>
      </c>
      <c r="O85" s="5">
        <f t="shared" si="104"/>
        <v>0</v>
      </c>
      <c r="P85" s="5">
        <f t="shared" si="104"/>
        <v>0</v>
      </c>
    </row>
    <row r="86" spans="2:16" s="4" customFormat="1" x14ac:dyDescent="0.25">
      <c r="B86" s="4" t="s">
        <v>86</v>
      </c>
      <c r="D86" s="4">
        <v>1888.0219999999999</v>
      </c>
      <c r="G86" s="4">
        <v>2749.029</v>
      </c>
      <c r="H86" s="4">
        <v>3143.7</v>
      </c>
      <c r="I86" s="4">
        <v>2944.8</v>
      </c>
      <c r="J86" s="4">
        <v>3295.9</v>
      </c>
    </row>
    <row r="87" spans="2:16" s="5" customFormat="1" x14ac:dyDescent="0.25">
      <c r="B87" s="5" t="s">
        <v>87</v>
      </c>
      <c r="C87" s="5">
        <f t="shared" ref="C87:I87" si="105">C85+C86</f>
        <v>0</v>
      </c>
      <c r="D87" s="5">
        <f t="shared" si="105"/>
        <v>2051.08</v>
      </c>
      <c r="E87" s="5">
        <f t="shared" si="105"/>
        <v>0</v>
      </c>
      <c r="F87" s="5">
        <f t="shared" si="105"/>
        <v>0</v>
      </c>
      <c r="G87" s="5">
        <f t="shared" si="105"/>
        <v>2922.2649999999999</v>
      </c>
      <c r="H87" s="5">
        <f t="shared" si="105"/>
        <v>3935.2280000000001</v>
      </c>
      <c r="I87" s="5">
        <f t="shared" si="105"/>
        <v>3718.8740000000003</v>
      </c>
      <c r="J87" s="5">
        <f>J85+J86</f>
        <v>4285.174</v>
      </c>
      <c r="K87" s="5">
        <f t="shared" ref="K87:P87" si="106">K85+K86</f>
        <v>0</v>
      </c>
      <c r="L87" s="5">
        <f t="shared" si="106"/>
        <v>0</v>
      </c>
      <c r="M87" s="5">
        <f t="shared" si="106"/>
        <v>0</v>
      </c>
      <c r="N87" s="5">
        <f t="shared" si="106"/>
        <v>0</v>
      </c>
      <c r="O87" s="5">
        <f t="shared" si="106"/>
        <v>0</v>
      </c>
      <c r="P87" s="5">
        <f t="shared" si="106"/>
        <v>0</v>
      </c>
    </row>
    <row r="90" spans="2:16" s="26" customFormat="1" x14ac:dyDescent="0.25">
      <c r="B90" s="25" t="s">
        <v>228</v>
      </c>
      <c r="D90" s="26">
        <f t="shared" ref="D90:I90" si="107">SUM(D55:D61)/SUM(D72:D79)</f>
        <v>5.7628641077552363</v>
      </c>
      <c r="E90" s="26" t="e">
        <f t="shared" si="107"/>
        <v>#DIV/0!</v>
      </c>
      <c r="F90" s="26" t="e">
        <f t="shared" si="107"/>
        <v>#DIV/0!</v>
      </c>
      <c r="G90" s="26">
        <f t="shared" si="107"/>
        <v>5.6804519917272209</v>
      </c>
      <c r="H90" s="26">
        <f t="shared" si="107"/>
        <v>3.7390412155082093</v>
      </c>
      <c r="I90" s="26">
        <f t="shared" si="107"/>
        <v>3.2287311234679659</v>
      </c>
      <c r="J90" s="26">
        <f>SUM(J55:J61)/SUM(J72:J79)</f>
        <v>1.3851047364909939</v>
      </c>
      <c r="K90" s="26" t="e">
        <f t="shared" ref="K90:P90" si="108">SUM(K55:K61)/SUM(K72:K79)</f>
        <v>#DIV/0!</v>
      </c>
      <c r="L90" s="26" t="e">
        <f t="shared" si="108"/>
        <v>#DIV/0!</v>
      </c>
      <c r="M90" s="26" t="e">
        <f t="shared" si="108"/>
        <v>#DIV/0!</v>
      </c>
      <c r="N90" s="26" t="e">
        <f t="shared" si="108"/>
        <v>#DIV/0!</v>
      </c>
      <c r="O90" s="26" t="e">
        <f t="shared" si="108"/>
        <v>#DIV/0!</v>
      </c>
      <c r="P90" s="26" t="e">
        <f t="shared" si="108"/>
        <v>#DIV/0!</v>
      </c>
    </row>
    <row r="91" spans="2:16" s="26" customFormat="1" x14ac:dyDescent="0.25">
      <c r="B91" s="25" t="s">
        <v>229</v>
      </c>
      <c r="D91" s="26">
        <f t="shared" ref="D91:I91" si="109">D85/D86</f>
        <v>8.6364459736168339E-2</v>
      </c>
      <c r="E91" s="26" t="e">
        <f t="shared" si="109"/>
        <v>#DIV/0!</v>
      </c>
      <c r="F91" s="26" t="e">
        <f t="shared" si="109"/>
        <v>#DIV/0!</v>
      </c>
      <c r="G91" s="26">
        <f t="shared" si="109"/>
        <v>6.3017159877178444E-2</v>
      </c>
      <c r="H91" s="26">
        <f t="shared" si="109"/>
        <v>0.25178229474822661</v>
      </c>
      <c r="I91" s="26">
        <f t="shared" si="109"/>
        <v>0.2628613148600924</v>
      </c>
      <c r="J91" s="26">
        <f>J85/J86</f>
        <v>0.3001529172608392</v>
      </c>
      <c r="K91" s="26" t="e">
        <f t="shared" ref="K91:P91" si="110">K85/K86</f>
        <v>#DIV/0!</v>
      </c>
      <c r="L91" s="26" t="e">
        <f t="shared" si="110"/>
        <v>#DIV/0!</v>
      </c>
      <c r="M91" s="26" t="e">
        <f t="shared" si="110"/>
        <v>#DIV/0!</v>
      </c>
      <c r="N91" s="26" t="e">
        <f t="shared" si="110"/>
        <v>#DIV/0!</v>
      </c>
      <c r="O91" s="26" t="e">
        <f t="shared" si="110"/>
        <v>#DIV/0!</v>
      </c>
      <c r="P91" s="26" t="e">
        <f t="shared" si="110"/>
        <v>#DIV/0!</v>
      </c>
    </row>
    <row r="92" spans="2:16" s="26" customFormat="1" x14ac:dyDescent="0.25">
      <c r="B92" s="25" t="s">
        <v>230</v>
      </c>
      <c r="D92" s="26">
        <f t="shared" ref="D92:I92" si="111">(D62+D68+D69+D70)/D71</f>
        <v>0.35998888390506473</v>
      </c>
      <c r="E92" s="26" t="e">
        <f t="shared" si="111"/>
        <v>#DIV/0!</v>
      </c>
      <c r="F92" s="26" t="e">
        <f t="shared" si="111"/>
        <v>#DIV/0!</v>
      </c>
      <c r="G92" s="26">
        <f t="shared" si="111"/>
        <v>0.44716792019401247</v>
      </c>
      <c r="H92" s="26">
        <f t="shared" si="111"/>
        <v>0.38312852123368552</v>
      </c>
      <c r="I92" s="26">
        <f t="shared" si="111"/>
        <v>0.39818982866350217</v>
      </c>
      <c r="J92" s="26">
        <f>(J62+J68+J69+J70)/J71</f>
        <v>0.34408427381714979</v>
      </c>
      <c r="K92" s="26" t="e">
        <f t="shared" ref="K92:P92" si="112">(K62+K68+K69+K70)/K71</f>
        <v>#DIV/0!</v>
      </c>
      <c r="L92" s="26" t="e">
        <f t="shared" si="112"/>
        <v>#DIV/0!</v>
      </c>
      <c r="M92" s="26" t="e">
        <f t="shared" si="112"/>
        <v>#DIV/0!</v>
      </c>
      <c r="N92" s="26" t="e">
        <f t="shared" si="112"/>
        <v>#DIV/0!</v>
      </c>
      <c r="O92" s="26" t="e">
        <f t="shared" si="112"/>
        <v>#DIV/0!</v>
      </c>
      <c r="P92" s="26" t="e">
        <f t="shared" si="112"/>
        <v>#DIV/0!</v>
      </c>
    </row>
    <row r="97" spans="2:22" s="4" customFormat="1" x14ac:dyDescent="0.25">
      <c r="B97" s="4" t="s">
        <v>88</v>
      </c>
      <c r="C97" s="4">
        <f t="shared" ref="C97:I97" si="113">C30</f>
        <v>0</v>
      </c>
      <c r="D97" s="4">
        <f t="shared" si="113"/>
        <v>0</v>
      </c>
      <c r="E97" s="4">
        <f t="shared" si="113"/>
        <v>211.65199999999996</v>
      </c>
      <c r="F97" s="4">
        <f t="shared" si="113"/>
        <v>-84.436000000000035</v>
      </c>
      <c r="G97" s="4">
        <f t="shared" si="113"/>
        <v>-154.36200000000002</v>
      </c>
      <c r="H97" s="4">
        <f t="shared" si="113"/>
        <v>136.52799999999999</v>
      </c>
      <c r="I97" s="4">
        <f t="shared" si="113"/>
        <v>-296.3</v>
      </c>
      <c r="J97" s="4">
        <f>J30</f>
        <v>219.36800000000008</v>
      </c>
      <c r="K97" s="4">
        <f t="shared" ref="K97:P97" si="114">K30</f>
        <v>0</v>
      </c>
      <c r="L97" s="4">
        <f t="shared" si="114"/>
        <v>0</v>
      </c>
      <c r="M97" s="4">
        <f t="shared" si="114"/>
        <v>0</v>
      </c>
      <c r="N97" s="4">
        <f t="shared" si="114"/>
        <v>0</v>
      </c>
      <c r="O97" s="4">
        <f t="shared" si="114"/>
        <v>0</v>
      </c>
      <c r="P97" s="4">
        <f t="shared" si="114"/>
        <v>0</v>
      </c>
      <c r="R97" s="22"/>
      <c r="T97" s="4">
        <f t="shared" ref="T97:V97" si="115">T30</f>
        <v>-509.54200000000003</v>
      </c>
      <c r="U97" s="4">
        <f t="shared" si="115"/>
        <v>-49.471000000000025</v>
      </c>
      <c r="V97" s="4">
        <f t="shared" si="115"/>
        <v>109.38199999999996</v>
      </c>
    </row>
    <row r="98" spans="2:22" s="4" customFormat="1" x14ac:dyDescent="0.25">
      <c r="B98" s="4" t="s">
        <v>89</v>
      </c>
      <c r="E98" s="4">
        <v>211.77699999999999</v>
      </c>
      <c r="F98" s="4">
        <v>-84.47699999999999</v>
      </c>
      <c r="G98" s="4">
        <v>-154.334</v>
      </c>
      <c r="H98" s="4">
        <v>136.435</v>
      </c>
      <c r="I98" s="4">
        <v>-296.36700000000002</v>
      </c>
      <c r="J98" s="4">
        <v>219.46700000000001</v>
      </c>
      <c r="T98" s="4">
        <v>-509.553</v>
      </c>
      <c r="U98" s="4">
        <v>-49.472000000000001</v>
      </c>
      <c r="V98" s="4">
        <v>109.401</v>
      </c>
    </row>
    <row r="99" spans="2:22" s="4" customFormat="1" x14ac:dyDescent="0.25">
      <c r="B99" s="4" t="s">
        <v>90</v>
      </c>
      <c r="E99" s="4">
        <v>32</v>
      </c>
      <c r="F99" s="4">
        <v>32.135000000000005</v>
      </c>
      <c r="G99" s="4">
        <v>30.564999999999998</v>
      </c>
      <c r="H99" s="4">
        <v>30.503999999999991</v>
      </c>
      <c r="I99" s="4">
        <v>29.576000000000001</v>
      </c>
      <c r="J99" s="4">
        <v>30.124000000000002</v>
      </c>
      <c r="T99" s="4">
        <v>24.555</v>
      </c>
      <c r="U99" s="4">
        <v>32.17</v>
      </c>
      <c r="V99" s="4">
        <v>125.20399999999999</v>
      </c>
    </row>
    <row r="100" spans="2:22" s="4" customFormat="1" x14ac:dyDescent="0.25">
      <c r="B100" s="4" t="s">
        <v>29</v>
      </c>
      <c r="E100" s="4">
        <v>32.343000000000004</v>
      </c>
      <c r="F100" s="4">
        <v>37.325999999999993</v>
      </c>
      <c r="G100" s="4">
        <v>60.000000000000014</v>
      </c>
      <c r="H100" s="4">
        <v>82.383999999999986</v>
      </c>
      <c r="I100" s="4">
        <v>77.926000000000002</v>
      </c>
      <c r="J100" s="4">
        <v>83.173999999999992</v>
      </c>
      <c r="T100" s="4">
        <v>107.95</v>
      </c>
      <c r="U100" s="4">
        <v>252.35400000000001</v>
      </c>
      <c r="V100" s="4">
        <v>212.053</v>
      </c>
    </row>
    <row r="101" spans="2:22" s="4" customFormat="1" x14ac:dyDescent="0.25">
      <c r="B101" s="4" t="s">
        <v>91</v>
      </c>
      <c r="E101" s="4">
        <v>-2.4E-2</v>
      </c>
      <c r="F101" s="4">
        <v>-2.4E-2</v>
      </c>
      <c r="G101" s="4">
        <v>-2.4999999999999994E-2</v>
      </c>
      <c r="H101" s="4">
        <v>-2.4000000000000007E-2</v>
      </c>
      <c r="I101" s="4">
        <v>-2.4E-2</v>
      </c>
      <c r="J101" s="4">
        <v>0</v>
      </c>
      <c r="T101" s="4">
        <v>-9.7000000000000003E-2</v>
      </c>
      <c r="U101" s="4">
        <v>-9.7000000000000003E-2</v>
      </c>
      <c r="V101" s="4">
        <v>-9.7000000000000003E-2</v>
      </c>
    </row>
    <row r="102" spans="2:22" s="4" customFormat="1" x14ac:dyDescent="0.25">
      <c r="B102" s="4" t="s">
        <v>92</v>
      </c>
      <c r="E102" s="4">
        <v>0.80800000000000005</v>
      </c>
      <c r="F102" s="4">
        <v>0.86799999999999988</v>
      </c>
      <c r="G102" s="4">
        <v>1.0240000000000002</v>
      </c>
      <c r="H102" s="4">
        <v>1.2079999999999997</v>
      </c>
      <c r="I102" s="4">
        <v>1.2609999999999999</v>
      </c>
      <c r="J102" s="4">
        <v>1.389</v>
      </c>
      <c r="T102" s="4">
        <v>12.180999999999999</v>
      </c>
      <c r="U102" s="4">
        <v>2.5089999999999999</v>
      </c>
      <c r="V102" s="4">
        <v>3.9079999999999999</v>
      </c>
    </row>
    <row r="103" spans="2:22" s="4" customFormat="1" x14ac:dyDescent="0.25">
      <c r="B103" s="4" t="s">
        <v>93</v>
      </c>
      <c r="E103" s="4">
        <v>0</v>
      </c>
      <c r="F103" s="4">
        <v>0</v>
      </c>
      <c r="G103" s="4">
        <v>0</v>
      </c>
      <c r="H103" s="4">
        <v>0.25</v>
      </c>
      <c r="I103" s="4">
        <v>0.752</v>
      </c>
      <c r="J103" s="4">
        <v>1.1180000000000001</v>
      </c>
      <c r="T103" s="4">
        <v>0</v>
      </c>
      <c r="U103" s="4">
        <v>0</v>
      </c>
      <c r="V103" s="4">
        <v>0.25</v>
      </c>
    </row>
    <row r="104" spans="2:22" s="4" customFormat="1" x14ac:dyDescent="0.25">
      <c r="B104" s="4" t="s">
        <v>31</v>
      </c>
      <c r="E104" s="4">
        <v>-234</v>
      </c>
      <c r="F104" s="4">
        <v>76.323000000000008</v>
      </c>
      <c r="G104" s="4">
        <v>-8.554000000000002</v>
      </c>
      <c r="H104" s="4">
        <v>-291.178</v>
      </c>
      <c r="I104" s="4">
        <v>208</v>
      </c>
      <c r="J104" s="4">
        <v>-470.77</v>
      </c>
      <c r="T104" s="4">
        <v>0</v>
      </c>
      <c r="U104" s="4">
        <v>-184.73400000000001</v>
      </c>
      <c r="V104" s="4">
        <v>-457.40899999999999</v>
      </c>
    </row>
    <row r="105" spans="2:22" s="4" customFormat="1" x14ac:dyDescent="0.25">
      <c r="B105" s="4" t="s">
        <v>32</v>
      </c>
      <c r="E105" s="4">
        <v>-20.2</v>
      </c>
      <c r="F105" s="4">
        <v>-27.500000000000004</v>
      </c>
      <c r="G105" s="4">
        <v>24.302000000000003</v>
      </c>
      <c r="H105" s="4">
        <v>-21.879000000000001</v>
      </c>
      <c r="I105" s="4">
        <v>-41.893999999999998</v>
      </c>
      <c r="J105" s="4">
        <v>42.744</v>
      </c>
      <c r="T105" s="4">
        <v>-71.418000000000006</v>
      </c>
      <c r="U105" s="4">
        <v>-6.7210000000000001</v>
      </c>
      <c r="V105" s="4">
        <v>-45.277000000000001</v>
      </c>
    </row>
    <row r="106" spans="2:22" s="4" customFormat="1" x14ac:dyDescent="0.25">
      <c r="B106" s="4" t="s">
        <v>34</v>
      </c>
      <c r="E106" s="20"/>
      <c r="F106" s="20"/>
      <c r="G106" s="4">
        <v>0</v>
      </c>
      <c r="H106" s="4">
        <v>-2.4590000000000001</v>
      </c>
      <c r="I106" s="4">
        <v>-8.2520000000000007</v>
      </c>
      <c r="J106" s="4">
        <v>-9.3899999999999988</v>
      </c>
      <c r="T106" s="4">
        <v>-0.159</v>
      </c>
      <c r="U106" s="4">
        <v>0</v>
      </c>
      <c r="V106" s="4">
        <v>-2.4590000000000001</v>
      </c>
    </row>
    <row r="107" spans="2:22" s="4" customFormat="1" x14ac:dyDescent="0.25">
      <c r="B107" s="4" t="s">
        <v>35</v>
      </c>
      <c r="E107" s="20"/>
      <c r="F107" s="20"/>
      <c r="G107" s="4">
        <v>0</v>
      </c>
      <c r="H107" s="4">
        <v>2.222</v>
      </c>
      <c r="I107" s="4">
        <v>0</v>
      </c>
      <c r="J107" s="4">
        <v>35.5</v>
      </c>
      <c r="T107" s="4">
        <f>9.688-11.749+147.365+335.648+55.544</f>
        <v>536.49599999999998</v>
      </c>
      <c r="U107" s="4">
        <f>1.526-5.045</f>
        <v>-3.5190000000000001</v>
      </c>
      <c r="V107" s="4">
        <f>0.31+1.912</f>
        <v>2.222</v>
      </c>
    </row>
    <row r="108" spans="2:22" s="4" customFormat="1" x14ac:dyDescent="0.25">
      <c r="B108" s="4" t="s">
        <v>94</v>
      </c>
      <c r="E108" s="20"/>
      <c r="F108" s="20"/>
      <c r="G108" s="4">
        <v>0</v>
      </c>
      <c r="H108" s="4">
        <v>0</v>
      </c>
      <c r="I108" s="4">
        <v>0</v>
      </c>
      <c r="J108" s="4">
        <v>-26</v>
      </c>
      <c r="T108" s="4">
        <v>0</v>
      </c>
      <c r="U108" s="4">
        <v>0</v>
      </c>
      <c r="V108" s="4">
        <v>0</v>
      </c>
    </row>
    <row r="109" spans="2:22" s="4" customFormat="1" x14ac:dyDescent="0.25">
      <c r="B109" s="4" t="s">
        <v>95</v>
      </c>
      <c r="E109" s="4">
        <v>0</v>
      </c>
      <c r="F109" s="4">
        <v>-24.46</v>
      </c>
      <c r="G109" s="4">
        <v>38.08</v>
      </c>
      <c r="H109" s="4">
        <v>55.869000000000007</v>
      </c>
      <c r="I109" s="4">
        <v>63.238</v>
      </c>
      <c r="J109" s="4">
        <v>-6.1379999999999981</v>
      </c>
      <c r="T109" s="4">
        <v>8.9960000000000004</v>
      </c>
      <c r="U109" s="4">
        <v>0</v>
      </c>
      <c r="V109" s="4">
        <v>69.489000000000004</v>
      </c>
    </row>
    <row r="110" spans="2:22" s="4" customFormat="1" x14ac:dyDescent="0.25">
      <c r="B110" s="4" t="s">
        <v>36</v>
      </c>
      <c r="E110" s="4">
        <v>0</v>
      </c>
      <c r="F110" s="4">
        <v>6.8000000000000005E-2</v>
      </c>
      <c r="G110" s="4">
        <v>0</v>
      </c>
      <c r="H110" s="4">
        <v>17.360999999999997</v>
      </c>
      <c r="I110" s="4">
        <v>0.129</v>
      </c>
      <c r="J110" s="4">
        <v>0.35</v>
      </c>
      <c r="T110" s="4">
        <v>-16.280999999999999</v>
      </c>
      <c r="U110" s="4">
        <v>5.3360000000000003</v>
      </c>
      <c r="V110" s="4">
        <v>17.428999999999998</v>
      </c>
    </row>
    <row r="111" spans="2:22" s="4" customFormat="1" x14ac:dyDescent="0.25">
      <c r="B111" s="4" t="s">
        <v>96</v>
      </c>
      <c r="E111" s="4">
        <v>-71.396000000000001</v>
      </c>
      <c r="F111" s="4">
        <v>-55.763999999999996</v>
      </c>
      <c r="G111" s="4">
        <v>-67.491000000000014</v>
      </c>
      <c r="H111" s="4">
        <v>-126.34899999999999</v>
      </c>
      <c r="I111" s="4">
        <v>-142.85900000000001</v>
      </c>
      <c r="J111" s="4">
        <v>-140.84099999999998</v>
      </c>
      <c r="T111" s="4">
        <v>-156.87</v>
      </c>
      <c r="U111" s="4">
        <v>-189</v>
      </c>
      <c r="V111" s="4">
        <v>-321</v>
      </c>
    </row>
    <row r="112" spans="2:22" s="4" customFormat="1" x14ac:dyDescent="0.25">
      <c r="B112" s="4" t="s">
        <v>97</v>
      </c>
      <c r="E112" s="4">
        <v>9.5180000000000007</v>
      </c>
      <c r="F112" s="4">
        <v>-1.8000000000000682E-2</v>
      </c>
      <c r="G112" s="4">
        <v>1.8000000000000682E-2</v>
      </c>
      <c r="H112" s="4">
        <v>0</v>
      </c>
      <c r="I112" s="4">
        <v>0</v>
      </c>
      <c r="J112" s="4">
        <v>0</v>
      </c>
      <c r="T112" s="4">
        <f>-30.346+79.529</f>
        <v>49.182999999999993</v>
      </c>
      <c r="U112" s="4">
        <v>176.21899999999999</v>
      </c>
      <c r="V112" s="4">
        <v>9.5180000000000007</v>
      </c>
    </row>
    <row r="113" spans="2:22" s="4" customFormat="1" x14ac:dyDescent="0.25">
      <c r="B113" s="4" t="s">
        <v>98</v>
      </c>
      <c r="E113" s="4">
        <v>1.7430000000000001</v>
      </c>
      <c r="F113" s="4">
        <v>8.8010000000000002</v>
      </c>
      <c r="G113" s="4">
        <v>10.433</v>
      </c>
      <c r="H113" s="4">
        <v>-13.138</v>
      </c>
      <c r="I113" s="4">
        <v>3.9E-2</v>
      </c>
      <c r="J113" s="4">
        <v>-11.439</v>
      </c>
      <c r="T113" s="4">
        <v>12.058</v>
      </c>
      <c r="U113" s="4">
        <v>6.3520000000000003</v>
      </c>
      <c r="V113" s="4">
        <v>7.8390000000000004</v>
      </c>
    </row>
    <row r="114" spans="2:22" s="4" customFormat="1" x14ac:dyDescent="0.25">
      <c r="B114" s="4" t="s">
        <v>99</v>
      </c>
      <c r="E114" s="4">
        <v>-20.309999999999999</v>
      </c>
      <c r="F114" s="4">
        <v>-5.93</v>
      </c>
      <c r="G114" s="4">
        <v>9.6679999999999993</v>
      </c>
      <c r="H114" s="4">
        <v>30.451000000000001</v>
      </c>
      <c r="I114" s="4">
        <v>-13.625</v>
      </c>
      <c r="J114" s="4">
        <v>19.456</v>
      </c>
      <c r="T114" s="4">
        <v>3.4889999999999999</v>
      </c>
      <c r="U114" s="4">
        <v>-8.3160000000000007</v>
      </c>
      <c r="V114" s="4">
        <v>13.879</v>
      </c>
    </row>
    <row r="115" spans="2:22" s="5" customFormat="1" x14ac:dyDescent="0.25">
      <c r="B115" s="5" t="s">
        <v>100</v>
      </c>
      <c r="C115" s="5">
        <f t="shared" ref="C115:P115" si="116">SUM(C98:C114)</f>
        <v>0</v>
      </c>
      <c r="D115" s="5">
        <f t="shared" si="116"/>
        <v>0</v>
      </c>
      <c r="E115" s="5">
        <f t="shared" si="116"/>
        <v>-57.741</v>
      </c>
      <c r="F115" s="5">
        <f t="shared" si="116"/>
        <v>-42.651999999999987</v>
      </c>
      <c r="G115" s="5">
        <f t="shared" si="116"/>
        <v>-56.314</v>
      </c>
      <c r="H115" s="5">
        <f t="shared" si="116"/>
        <v>-98.343000000000018</v>
      </c>
      <c r="I115" s="5">
        <f t="shared" si="116"/>
        <v>-122.10000000000001</v>
      </c>
      <c r="J115" s="5">
        <f t="shared" si="116"/>
        <v>-231.25599999999997</v>
      </c>
      <c r="K115" s="5">
        <f t="shared" si="116"/>
        <v>0</v>
      </c>
      <c r="L115" s="5">
        <f t="shared" si="116"/>
        <v>0</v>
      </c>
      <c r="M115" s="5">
        <f t="shared" si="116"/>
        <v>0</v>
      </c>
      <c r="N115" s="5">
        <f t="shared" si="116"/>
        <v>0</v>
      </c>
      <c r="O115" s="5">
        <f t="shared" si="116"/>
        <v>0</v>
      </c>
      <c r="P115" s="5">
        <f t="shared" si="116"/>
        <v>0</v>
      </c>
      <c r="S115" s="4"/>
      <c r="T115" s="5">
        <f t="shared" ref="T115" si="117">SUM(T98:T114)</f>
        <v>0.52999999999997538</v>
      </c>
      <c r="U115" s="5">
        <f t="shared" ref="U115" si="118">SUM(U98:U114)</f>
        <v>33.080999999999989</v>
      </c>
      <c r="V115" s="5">
        <f>SUM(V98:V114)</f>
        <v>-255.04999999999993</v>
      </c>
    </row>
    <row r="116" spans="2:22" s="4" customFormat="1" x14ac:dyDescent="0.25">
      <c r="B116" s="4" t="s">
        <v>101</v>
      </c>
      <c r="E116" s="20"/>
      <c r="F116" s="20"/>
      <c r="G116" s="4">
        <v>-7.2030000000000003</v>
      </c>
      <c r="H116" s="4">
        <v>-570.29700000000003</v>
      </c>
      <c r="I116" s="4">
        <v>0</v>
      </c>
      <c r="J116" s="4">
        <v>-7.25</v>
      </c>
      <c r="T116" s="4">
        <v>0</v>
      </c>
      <c r="U116" s="4">
        <v>0</v>
      </c>
      <c r="V116" s="4">
        <v>-577.5</v>
      </c>
    </row>
    <row r="117" spans="2:22" s="4" customFormat="1" x14ac:dyDescent="0.25">
      <c r="B117" s="4" t="s">
        <v>102</v>
      </c>
      <c r="E117" s="4">
        <v>-139.32900000000001</v>
      </c>
      <c r="F117" s="4">
        <v>-139.65800000000002</v>
      </c>
      <c r="G117" s="4">
        <v>-52.188999999999965</v>
      </c>
      <c r="H117" s="4">
        <v>-111.29700000000003</v>
      </c>
      <c r="I117" s="4">
        <v>-26.655000000000001</v>
      </c>
      <c r="J117" s="4">
        <v>-59.745000000000005</v>
      </c>
      <c r="T117" s="4">
        <v>-194.923</v>
      </c>
      <c r="U117" s="4">
        <v>-230.39699999999999</v>
      </c>
      <c r="V117" s="4">
        <v>-442.47300000000001</v>
      </c>
    </row>
    <row r="118" spans="2:22" s="4" customFormat="1" x14ac:dyDescent="0.25">
      <c r="B118" s="4" t="s">
        <v>97</v>
      </c>
      <c r="E118" s="4">
        <v>0</v>
      </c>
      <c r="F118" s="4">
        <v>0</v>
      </c>
      <c r="G118" s="4">
        <v>-4.4080000000000004</v>
      </c>
      <c r="H118" s="4">
        <v>4.4080000000000004</v>
      </c>
      <c r="I118" s="4">
        <v>0</v>
      </c>
      <c r="J118" s="4">
        <v>131.80000000000001</v>
      </c>
      <c r="T118" s="4">
        <v>0</v>
      </c>
      <c r="U118" s="4">
        <v>0</v>
      </c>
      <c r="V118" s="4">
        <v>0</v>
      </c>
    </row>
    <row r="119" spans="2:22" s="4" customFormat="1" x14ac:dyDescent="0.25">
      <c r="B119" s="4" t="s">
        <v>103</v>
      </c>
      <c r="E119" s="4">
        <v>-0.155</v>
      </c>
      <c r="F119" s="4">
        <v>-2.5999999999999995E-2</v>
      </c>
      <c r="G119" s="4">
        <v>0.18099999999999999</v>
      </c>
      <c r="H119" s="4">
        <v>-4.0999999999999996</v>
      </c>
      <c r="I119" s="4">
        <v>0.28599999999999998</v>
      </c>
      <c r="J119" s="4">
        <v>0</v>
      </c>
      <c r="T119" s="4">
        <v>-3.8090000000000002</v>
      </c>
      <c r="U119" s="4">
        <v>0</v>
      </c>
      <c r="V119" s="4">
        <v>-4.0999999999999996</v>
      </c>
    </row>
    <row r="120" spans="2:22" s="4" customFormat="1" x14ac:dyDescent="0.25">
      <c r="B120" s="4" t="s">
        <v>104</v>
      </c>
      <c r="E120" s="4">
        <v>0</v>
      </c>
      <c r="F120" s="4">
        <v>-133.16</v>
      </c>
      <c r="G120" s="4">
        <v>-70.593999999999994</v>
      </c>
      <c r="H120" s="4">
        <v>0</v>
      </c>
      <c r="I120" s="4">
        <v>0</v>
      </c>
      <c r="J120" s="4">
        <v>14.6</v>
      </c>
      <c r="T120" s="4">
        <v>1.8080000000000001</v>
      </c>
      <c r="U120" s="4">
        <v>0</v>
      </c>
      <c r="V120" s="4">
        <v>-203.75399999999999</v>
      </c>
    </row>
    <row r="121" spans="2:22" s="23" customFormat="1" x14ac:dyDescent="0.25">
      <c r="B121" s="23" t="s">
        <v>105</v>
      </c>
      <c r="E121" s="23">
        <v>-57.3</v>
      </c>
      <c r="F121" s="23">
        <v>-53.548000000000002</v>
      </c>
      <c r="G121" s="23">
        <v>-71.285999999999987</v>
      </c>
      <c r="H121" s="23">
        <v>-58.206000000000017</v>
      </c>
      <c r="I121" s="23">
        <v>-32.857999999999997</v>
      </c>
      <c r="J121" s="23">
        <v>-60.377000000000002</v>
      </c>
      <c r="T121" s="23">
        <v>-148.41200000000001</v>
      </c>
      <c r="U121" s="23">
        <v>-193.70400000000001</v>
      </c>
      <c r="V121" s="23">
        <v>-240.34</v>
      </c>
    </row>
    <row r="122" spans="2:22" s="4" customFormat="1" x14ac:dyDescent="0.25">
      <c r="B122" s="4" t="s">
        <v>23</v>
      </c>
      <c r="E122" s="4">
        <v>2.2999999999999998</v>
      </c>
      <c r="F122" s="4">
        <v>0.18700000000000028</v>
      </c>
      <c r="G122" s="4">
        <v>0</v>
      </c>
      <c r="H122" s="4">
        <v>-43.086999999999996</v>
      </c>
      <c r="I122" s="4">
        <v>0</v>
      </c>
      <c r="J122" s="4">
        <v>0.11899999999999999</v>
      </c>
      <c r="T122" s="4">
        <v>-9.5269999999999992</v>
      </c>
      <c r="U122" s="4">
        <f>-4.5+7.5+6.369-0.034</f>
        <v>9.3349999999999991</v>
      </c>
      <c r="V122" s="4">
        <f>3.1+14.3-58</f>
        <v>-40.599999999999994</v>
      </c>
    </row>
    <row r="123" spans="2:22" s="5" customFormat="1" x14ac:dyDescent="0.25">
      <c r="B123" s="5" t="s">
        <v>106</v>
      </c>
      <c r="C123" s="5">
        <f t="shared" ref="C123:P123" si="119">SUM(C116:C122)</f>
        <v>0</v>
      </c>
      <c r="D123" s="5">
        <f t="shared" si="119"/>
        <v>0</v>
      </c>
      <c r="E123" s="5">
        <f t="shared" si="119"/>
        <v>-194.48399999999998</v>
      </c>
      <c r="F123" s="5">
        <f t="shared" si="119"/>
        <v>-326.20500000000004</v>
      </c>
      <c r="G123" s="5">
        <f t="shared" si="119"/>
        <v>-205.49899999999997</v>
      </c>
      <c r="H123" s="5">
        <f t="shared" si="119"/>
        <v>-782.57900000000006</v>
      </c>
      <c r="I123" s="5">
        <f t="shared" si="119"/>
        <v>-59.226999999999997</v>
      </c>
      <c r="J123" s="5">
        <f t="shared" si="119"/>
        <v>19.146999999999998</v>
      </c>
      <c r="K123" s="5">
        <f t="shared" si="119"/>
        <v>0</v>
      </c>
      <c r="L123" s="5">
        <f t="shared" si="119"/>
        <v>0</v>
      </c>
      <c r="M123" s="5">
        <f t="shared" si="119"/>
        <v>0</v>
      </c>
      <c r="N123" s="5">
        <f t="shared" si="119"/>
        <v>0</v>
      </c>
      <c r="O123" s="5">
        <f t="shared" si="119"/>
        <v>0</v>
      </c>
      <c r="P123" s="5">
        <f t="shared" si="119"/>
        <v>0</v>
      </c>
      <c r="S123" s="4"/>
      <c r="T123" s="5">
        <f t="shared" ref="T123" si="120">SUM(T116:T122)</f>
        <v>-354.863</v>
      </c>
      <c r="U123" s="5">
        <f t="shared" ref="U123" si="121">SUM(U116:U122)</f>
        <v>-414.76600000000002</v>
      </c>
      <c r="V123" s="5">
        <f>SUM(V116:V122)</f>
        <v>-1508.7669999999996</v>
      </c>
    </row>
    <row r="124" spans="2:22" s="4" customFormat="1" x14ac:dyDescent="0.25">
      <c r="B124" s="4" t="s">
        <v>107</v>
      </c>
      <c r="E124" s="4">
        <v>353.22399999999999</v>
      </c>
      <c r="F124" s="4">
        <v>173.77600000000001</v>
      </c>
      <c r="G124" s="4">
        <v>219.42600000000004</v>
      </c>
      <c r="H124" s="4">
        <v>230.60399999999993</v>
      </c>
      <c r="I124" s="4">
        <v>70.034999999999997</v>
      </c>
      <c r="J124" s="4">
        <v>53.865000000000009</v>
      </c>
      <c r="T124" s="4">
        <v>304.84899999999999</v>
      </c>
      <c r="U124" s="4">
        <v>778.43</v>
      </c>
      <c r="V124" s="4">
        <v>977.03</v>
      </c>
    </row>
    <row r="125" spans="2:22" s="4" customFormat="1" x14ac:dyDescent="0.25">
      <c r="B125" s="4" t="s">
        <v>108</v>
      </c>
      <c r="E125" s="4">
        <v>-7.48</v>
      </c>
      <c r="F125" s="4">
        <v>-3.5640000000000001</v>
      </c>
      <c r="G125" s="4">
        <v>-4.6029999999999998</v>
      </c>
      <c r="H125" s="4">
        <v>-4.7460000000000004</v>
      </c>
      <c r="I125" s="4">
        <v>-1.63</v>
      </c>
      <c r="J125" s="4">
        <v>-1.2110000000000003</v>
      </c>
      <c r="T125" s="4">
        <v>-6.64</v>
      </c>
      <c r="U125" s="4">
        <v>-16.657</v>
      </c>
      <c r="V125" s="4">
        <v>-20.393000000000001</v>
      </c>
    </row>
    <row r="126" spans="2:22" s="4" customFormat="1" x14ac:dyDescent="0.25">
      <c r="B126" s="4" t="s">
        <v>109</v>
      </c>
      <c r="E126" s="4">
        <v>-7.1999999999999995E-2</v>
      </c>
      <c r="F126" s="4">
        <v>7.1999999999999995E-2</v>
      </c>
      <c r="G126" s="4">
        <v>0</v>
      </c>
      <c r="H126" s="4">
        <v>594.38300000000004</v>
      </c>
      <c r="I126" s="4">
        <v>0</v>
      </c>
      <c r="J126" s="4">
        <v>61</v>
      </c>
      <c r="T126" s="4">
        <v>0</v>
      </c>
      <c r="U126" s="4">
        <v>0</v>
      </c>
      <c r="V126" s="4">
        <v>594.38300000000004</v>
      </c>
    </row>
    <row r="127" spans="2:22" s="4" customFormat="1" x14ac:dyDescent="0.25">
      <c r="B127" s="4" t="s">
        <v>110</v>
      </c>
      <c r="E127" s="4">
        <v>0</v>
      </c>
      <c r="F127" s="4">
        <v>-0.14399999999999999</v>
      </c>
      <c r="G127" s="4">
        <v>-5.8000000000000024E-2</v>
      </c>
      <c r="H127" s="4">
        <v>-0.66399999999999992</v>
      </c>
      <c r="I127" s="4">
        <v>0</v>
      </c>
      <c r="J127" s="4">
        <v>-6.7</v>
      </c>
      <c r="T127" s="4">
        <v>-15.725</v>
      </c>
      <c r="U127" s="4">
        <v>-6.0590000000000002</v>
      </c>
      <c r="V127" s="4">
        <v>-0.86599999999999999</v>
      </c>
    </row>
    <row r="128" spans="2:22" s="4" customFormat="1" x14ac:dyDescent="0.25">
      <c r="B128" s="4" t="s">
        <v>111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200</v>
      </c>
      <c r="T128" s="4">
        <v>0</v>
      </c>
      <c r="U128" s="4">
        <v>6.92</v>
      </c>
      <c r="V128" s="4">
        <v>0</v>
      </c>
    </row>
    <row r="129" spans="2:23" s="4" customFormat="1" x14ac:dyDescent="0.25">
      <c r="B129" s="4" t="s">
        <v>112</v>
      </c>
      <c r="E129" s="4">
        <v>0</v>
      </c>
      <c r="F129" s="4">
        <v>0</v>
      </c>
      <c r="G129" s="4">
        <v>-5</v>
      </c>
      <c r="H129" s="4">
        <v>-15.249000000000002</v>
      </c>
      <c r="I129" s="4">
        <v>-6.4000000000000001E-2</v>
      </c>
      <c r="J129" s="4">
        <v>-2.3319999999999999</v>
      </c>
      <c r="T129" s="4">
        <v>0</v>
      </c>
      <c r="U129" s="4">
        <v>-7.6999999999999999E-2</v>
      </c>
      <c r="V129" s="4">
        <f>-15.249-5</f>
        <v>-20.249000000000002</v>
      </c>
    </row>
    <row r="130" spans="2:23" s="4" customFormat="1" x14ac:dyDescent="0.25">
      <c r="B130" s="4" t="s">
        <v>113</v>
      </c>
      <c r="E130" s="4">
        <v>-1.998</v>
      </c>
      <c r="F130" s="4">
        <v>-8.7710000000000008</v>
      </c>
      <c r="G130" s="4">
        <v>-0.70899999999999963</v>
      </c>
      <c r="H130" s="4">
        <v>-8.3999999999999631E-2</v>
      </c>
      <c r="I130" s="4">
        <v>-0.48399999999999999</v>
      </c>
      <c r="J130" s="4">
        <v>-0.10299999999999998</v>
      </c>
      <c r="T130" s="4">
        <v>-10.138</v>
      </c>
      <c r="U130" s="4">
        <v>-14.035</v>
      </c>
      <c r="V130" s="4">
        <v>-11.561999999999999</v>
      </c>
    </row>
    <row r="131" spans="2:23" s="5" customFormat="1" x14ac:dyDescent="0.25">
      <c r="B131" s="5" t="s">
        <v>114</v>
      </c>
      <c r="C131" s="5">
        <f t="shared" ref="C131:P131" si="122">SUM(C124:C130)</f>
        <v>0</v>
      </c>
      <c r="D131" s="5">
        <f t="shared" si="122"/>
        <v>0</v>
      </c>
      <c r="E131" s="5">
        <f t="shared" si="122"/>
        <v>343.67399999999998</v>
      </c>
      <c r="F131" s="5">
        <f t="shared" si="122"/>
        <v>161.36900000000003</v>
      </c>
      <c r="G131" s="5">
        <f t="shared" si="122"/>
        <v>209.05600000000004</v>
      </c>
      <c r="H131" s="5">
        <f t="shared" si="122"/>
        <v>804.24400000000003</v>
      </c>
      <c r="I131" s="5">
        <f t="shared" si="122"/>
        <v>67.857000000000014</v>
      </c>
      <c r="J131" s="5">
        <f t="shared" si="122"/>
        <v>304.51900000000001</v>
      </c>
      <c r="K131" s="5">
        <f t="shared" si="122"/>
        <v>0</v>
      </c>
      <c r="L131" s="5">
        <f t="shared" si="122"/>
        <v>0</v>
      </c>
      <c r="M131" s="5">
        <f t="shared" si="122"/>
        <v>0</v>
      </c>
      <c r="N131" s="5">
        <f t="shared" si="122"/>
        <v>0</v>
      </c>
      <c r="O131" s="5">
        <f t="shared" si="122"/>
        <v>0</v>
      </c>
      <c r="P131" s="5">
        <f t="shared" si="122"/>
        <v>0</v>
      </c>
      <c r="S131" s="4"/>
      <c r="T131" s="5">
        <f t="shared" ref="T131" si="123">SUM(T124:T130)</f>
        <v>272.346</v>
      </c>
      <c r="U131" s="5">
        <f t="shared" ref="U131" si="124">SUM(U124:U130)</f>
        <v>748.52199999999993</v>
      </c>
      <c r="V131" s="5">
        <f t="shared" ref="V131" si="125">SUM(V124:V130)</f>
        <v>1518.3430000000001</v>
      </c>
    </row>
    <row r="132" spans="2:23" s="5" customFormat="1" x14ac:dyDescent="0.25">
      <c r="B132" s="5" t="s">
        <v>117</v>
      </c>
      <c r="C132" s="5">
        <f t="shared" ref="C132" si="126">C115+C123+C131</f>
        <v>0</v>
      </c>
      <c r="D132" s="5">
        <f t="shared" ref="D132" si="127">D115+D123+D131</f>
        <v>0</v>
      </c>
      <c r="E132" s="5">
        <f t="shared" ref="E132" si="128">E115+E123+E131</f>
        <v>91.449000000000012</v>
      </c>
      <c r="F132" s="5">
        <f t="shared" ref="F132" si="129">F115+F123+F131</f>
        <v>-207.488</v>
      </c>
      <c r="G132" s="5">
        <f t="shared" ref="G132" si="130">G115+G123+G131</f>
        <v>-52.756999999999948</v>
      </c>
      <c r="H132" s="5">
        <f t="shared" ref="H132" si="131">H115+H123+H131</f>
        <v>-76.677999999999997</v>
      </c>
      <c r="I132" s="5">
        <f t="shared" ref="I132" si="132">I115+I123+I131</f>
        <v>-113.46999999999998</v>
      </c>
      <c r="J132" s="5">
        <f t="shared" ref="J132" si="133">J115+J123+J131</f>
        <v>92.410000000000025</v>
      </c>
      <c r="K132" s="5">
        <f t="shared" ref="K132" si="134">K115+K123+K131</f>
        <v>0</v>
      </c>
      <c r="L132" s="5">
        <f t="shared" ref="L132" si="135">L115+L123+L131</f>
        <v>0</v>
      </c>
      <c r="M132" s="5">
        <f t="shared" ref="M132" si="136">M115+M123+M131</f>
        <v>0</v>
      </c>
      <c r="N132" s="5">
        <f t="shared" ref="N132" si="137">N115+N123+N131</f>
        <v>0</v>
      </c>
      <c r="O132" s="5">
        <f t="shared" ref="O132" si="138">O115+O123+O131</f>
        <v>0</v>
      </c>
      <c r="P132" s="5">
        <f t="shared" ref="P132" si="139">P115+P123+P131</f>
        <v>0</v>
      </c>
      <c r="S132" s="4"/>
      <c r="T132" s="5">
        <f t="shared" ref="T132" si="140">T115+T123+T131</f>
        <v>-81.987000000000023</v>
      </c>
      <c r="U132" s="5">
        <f t="shared" ref="U132" si="141">U115+U123+U131</f>
        <v>366.83699999999988</v>
      </c>
      <c r="V132" s="5">
        <f t="shared" ref="V132" si="142">V115+V123+V131</f>
        <v>-245.47399999999948</v>
      </c>
    </row>
    <row r="133" spans="2:23" s="4" customFormat="1" x14ac:dyDescent="0.25">
      <c r="B133" s="4" t="s">
        <v>115</v>
      </c>
      <c r="D133" s="4">
        <f>+C134</f>
        <v>0</v>
      </c>
      <c r="E133" s="4">
        <f t="shared" ref="E133:P133" si="143">+D134</f>
        <v>0</v>
      </c>
      <c r="F133" s="4">
        <f t="shared" si="143"/>
        <v>91.449000000000012</v>
      </c>
      <c r="G133" s="4">
        <f t="shared" si="143"/>
        <v>-116.03899999999999</v>
      </c>
      <c r="H133" s="4">
        <f t="shared" si="143"/>
        <v>-168.79599999999994</v>
      </c>
      <c r="I133" s="4">
        <f t="shared" si="143"/>
        <v>-245.47399999999993</v>
      </c>
      <c r="J133" s="4">
        <f t="shared" si="143"/>
        <v>-358.9439999999999</v>
      </c>
      <c r="K133" s="4">
        <f t="shared" si="143"/>
        <v>-266.53399999999988</v>
      </c>
      <c r="L133" s="4">
        <f t="shared" si="143"/>
        <v>-266.53399999999988</v>
      </c>
      <c r="M133" s="4">
        <f t="shared" si="143"/>
        <v>-266.53399999999988</v>
      </c>
      <c r="N133" s="4">
        <f t="shared" si="143"/>
        <v>-266.53399999999988</v>
      </c>
      <c r="O133" s="4">
        <f t="shared" si="143"/>
        <v>-266.53399999999988</v>
      </c>
      <c r="P133" s="4">
        <f t="shared" si="143"/>
        <v>-266.53399999999988</v>
      </c>
      <c r="T133" s="4">
        <v>312.315</v>
      </c>
      <c r="U133" s="4">
        <f t="shared" ref="U133:V133" si="144">+T134</f>
        <v>230.32799999999997</v>
      </c>
      <c r="V133" s="4">
        <f t="shared" si="144"/>
        <v>597.16499999999985</v>
      </c>
    </row>
    <row r="134" spans="2:23" s="4" customFormat="1" x14ac:dyDescent="0.25">
      <c r="B134" s="4" t="s">
        <v>116</v>
      </c>
      <c r="C134" s="4">
        <f>+C132+C133</f>
        <v>0</v>
      </c>
      <c r="D134" s="4">
        <f t="shared" ref="D134:P134" si="145">+D132+D133</f>
        <v>0</v>
      </c>
      <c r="E134" s="4">
        <f t="shared" si="145"/>
        <v>91.449000000000012</v>
      </c>
      <c r="F134" s="4">
        <f t="shared" si="145"/>
        <v>-116.03899999999999</v>
      </c>
      <c r="G134" s="4">
        <f t="shared" si="145"/>
        <v>-168.79599999999994</v>
      </c>
      <c r="H134" s="4">
        <f t="shared" si="145"/>
        <v>-245.47399999999993</v>
      </c>
      <c r="I134" s="4">
        <f t="shared" si="145"/>
        <v>-358.9439999999999</v>
      </c>
      <c r="J134" s="4">
        <f t="shared" si="145"/>
        <v>-266.53399999999988</v>
      </c>
      <c r="K134" s="4">
        <f t="shared" si="145"/>
        <v>-266.53399999999988</v>
      </c>
      <c r="L134" s="4">
        <f t="shared" si="145"/>
        <v>-266.53399999999988</v>
      </c>
      <c r="M134" s="4">
        <f t="shared" si="145"/>
        <v>-266.53399999999988</v>
      </c>
      <c r="N134" s="4">
        <f t="shared" si="145"/>
        <v>-266.53399999999988</v>
      </c>
      <c r="O134" s="4">
        <f t="shared" si="145"/>
        <v>-266.53399999999988</v>
      </c>
      <c r="P134" s="4">
        <f t="shared" si="145"/>
        <v>-266.53399999999988</v>
      </c>
      <c r="T134" s="4">
        <f t="shared" ref="T134" si="146">+T132+T133</f>
        <v>230.32799999999997</v>
      </c>
      <c r="U134" s="4">
        <f t="shared" ref="U134" si="147">+U132+U133</f>
        <v>597.16499999999985</v>
      </c>
      <c r="V134" s="4">
        <f t="shared" ref="V134" si="148">+V132+V133</f>
        <v>351.69100000000037</v>
      </c>
    </row>
    <row r="136" spans="2:23" x14ac:dyDescent="0.25">
      <c r="B136" s="1" t="s">
        <v>118</v>
      </c>
      <c r="C136" s="4">
        <f t="shared" ref="C136:I136" si="149">C115+C121</f>
        <v>0</v>
      </c>
      <c r="D136" s="4">
        <f t="shared" si="149"/>
        <v>0</v>
      </c>
      <c r="E136" s="4">
        <f t="shared" si="149"/>
        <v>-115.041</v>
      </c>
      <c r="F136" s="4">
        <f t="shared" si="149"/>
        <v>-96.199999999999989</v>
      </c>
      <c r="G136" s="4">
        <f t="shared" si="149"/>
        <v>-127.6</v>
      </c>
      <c r="H136" s="4">
        <f t="shared" si="149"/>
        <v>-156.54900000000004</v>
      </c>
      <c r="I136" s="4">
        <f t="shared" si="149"/>
        <v>-154.958</v>
      </c>
      <c r="J136" s="4">
        <f>J115+J121</f>
        <v>-291.63299999999998</v>
      </c>
      <c r="K136" s="4">
        <f t="shared" ref="K136:P136" si="150">K115+K121</f>
        <v>0</v>
      </c>
      <c r="L136" s="4">
        <f t="shared" si="150"/>
        <v>0</v>
      </c>
      <c r="M136" s="4">
        <f t="shared" si="150"/>
        <v>0</v>
      </c>
      <c r="N136" s="4">
        <f t="shared" si="150"/>
        <v>0</v>
      </c>
      <c r="O136" s="4">
        <f t="shared" si="150"/>
        <v>0</v>
      </c>
      <c r="P136" s="4">
        <f t="shared" si="150"/>
        <v>0</v>
      </c>
      <c r="T136" s="4">
        <f t="shared" ref="T136:V136" si="151">T115+T121</f>
        <v>-147.88200000000003</v>
      </c>
      <c r="U136" s="4">
        <f t="shared" si="151"/>
        <v>-160.62300000000002</v>
      </c>
      <c r="V136" s="4">
        <f t="shared" si="151"/>
        <v>-495.38999999999993</v>
      </c>
      <c r="W136" s="4">
        <f t="shared" ref="W136" si="152">W115+W121</f>
        <v>0</v>
      </c>
    </row>
    <row r="137" spans="2:23" s="16" customFormat="1" x14ac:dyDescent="0.25">
      <c r="B137" s="16" t="s">
        <v>119</v>
      </c>
      <c r="C137" s="16" t="e">
        <f t="shared" ref="C137:I137" si="153">-C121/C6</f>
        <v>#DIV/0!</v>
      </c>
      <c r="D137" s="16" t="e">
        <f t="shared" si="153"/>
        <v>#DIV/0!</v>
      </c>
      <c r="E137" s="16">
        <f t="shared" si="153"/>
        <v>0.72260895883777243</v>
      </c>
      <c r="F137" s="16">
        <f t="shared" si="153"/>
        <v>0.76481846487845295</v>
      </c>
      <c r="G137" s="16">
        <f t="shared" si="153"/>
        <v>0.84077559974524074</v>
      </c>
      <c r="H137" s="16">
        <f t="shared" si="153"/>
        <v>0.40829124579124582</v>
      </c>
      <c r="I137" s="16">
        <f t="shared" si="153"/>
        <v>0.20359756362036593</v>
      </c>
      <c r="J137" s="16">
        <f>-J121/J6</f>
        <v>0.39465186812037545</v>
      </c>
      <c r="K137" s="16" t="e">
        <f t="shared" ref="K137:P137" si="154">-K121/K6</f>
        <v>#DIV/0!</v>
      </c>
      <c r="L137" s="16" t="e">
        <f t="shared" si="154"/>
        <v>#DIV/0!</v>
      </c>
      <c r="M137" s="16" t="e">
        <f t="shared" si="154"/>
        <v>#DIV/0!</v>
      </c>
      <c r="N137" s="16" t="e">
        <f t="shared" si="154"/>
        <v>#DIV/0!</v>
      </c>
      <c r="O137" s="16" t="e">
        <f t="shared" si="154"/>
        <v>#DIV/0!</v>
      </c>
      <c r="P137" s="16" t="e">
        <f t="shared" si="154"/>
        <v>#DIV/0!</v>
      </c>
      <c r="T137" s="16">
        <f t="shared" ref="T137:V137" si="155">-T121/T6</f>
        <v>0.57264122914986637</v>
      </c>
      <c r="U137" s="16">
        <f t="shared" si="155"/>
        <v>0.69013627861405535</v>
      </c>
      <c r="V137" s="16">
        <f t="shared" si="155"/>
        <v>0.63808886623338001</v>
      </c>
      <c r="W137" s="16">
        <f t="shared" ref="W137" si="156">-W121/W6</f>
        <v>0</v>
      </c>
    </row>
    <row r="138" spans="2:23" s="16" customFormat="1" x14ac:dyDescent="0.25">
      <c r="B138" s="16" t="s">
        <v>120</v>
      </c>
      <c r="C138" s="16" t="e">
        <f t="shared" ref="C138:I138" si="157">C136/C6</f>
        <v>#DIV/0!</v>
      </c>
      <c r="D138" s="16" t="e">
        <f t="shared" si="157"/>
        <v>#DIV/0!</v>
      </c>
      <c r="E138" s="16">
        <f t="shared" si="157"/>
        <v>-1.4507793583535109</v>
      </c>
      <c r="F138" s="16">
        <f t="shared" si="157"/>
        <v>-1.3740109121032935</v>
      </c>
      <c r="G138" s="16">
        <f t="shared" si="157"/>
        <v>-1.5049654424079446</v>
      </c>
      <c r="H138" s="16">
        <f t="shared" si="157"/>
        <v>-1.0981271043771044</v>
      </c>
      <c r="I138" s="16">
        <f t="shared" si="157"/>
        <v>-0.96016407765185552</v>
      </c>
      <c r="J138" s="16">
        <f>J136/J6</f>
        <v>-1.9062475488273589</v>
      </c>
      <c r="K138" s="16" t="e">
        <f t="shared" ref="K138:P138" si="158">K136/K6</f>
        <v>#DIV/0!</v>
      </c>
      <c r="L138" s="16" t="e">
        <f t="shared" si="158"/>
        <v>#DIV/0!</v>
      </c>
      <c r="M138" s="16" t="e">
        <f t="shared" si="158"/>
        <v>#DIV/0!</v>
      </c>
      <c r="N138" s="16" t="e">
        <f t="shared" si="158"/>
        <v>#DIV/0!</v>
      </c>
      <c r="O138" s="16" t="e">
        <f t="shared" si="158"/>
        <v>#DIV/0!</v>
      </c>
      <c r="P138" s="16" t="e">
        <f t="shared" si="158"/>
        <v>#DIV/0!</v>
      </c>
      <c r="T138" s="16">
        <f t="shared" ref="T138:V138" si="159">T136/T6</f>
        <v>-0.57059624726531921</v>
      </c>
      <c r="U138" s="16">
        <f t="shared" si="159"/>
        <v>-0.57227398236394411</v>
      </c>
      <c r="V138" s="16">
        <f t="shared" si="159"/>
        <v>-1.3152319357716322</v>
      </c>
      <c r="W138" s="16">
        <f t="shared" ref="W138" si="160">W136/W6</f>
        <v>0</v>
      </c>
    </row>
    <row r="139" spans="2:23" s="16" customFormat="1" x14ac:dyDescent="0.25">
      <c r="B139" s="16" t="s">
        <v>121</v>
      </c>
      <c r="G139" s="16" t="e">
        <f t="shared" ref="G139:I139" si="161">G136/C136-1</f>
        <v>#DIV/0!</v>
      </c>
      <c r="H139" s="16" t="e">
        <f t="shared" si="161"/>
        <v>#DIV/0!</v>
      </c>
      <c r="I139" s="16">
        <f t="shared" si="161"/>
        <v>0.34698064168426912</v>
      </c>
      <c r="J139" s="16">
        <f>J136/F136-1</f>
        <v>2.0315280665280668</v>
      </c>
      <c r="K139" s="16">
        <f t="shared" ref="K139:P139" si="162">K136/G136-1</f>
        <v>-1</v>
      </c>
      <c r="L139" s="16">
        <f t="shared" si="162"/>
        <v>-1</v>
      </c>
      <c r="M139" s="16">
        <f t="shared" si="162"/>
        <v>-1</v>
      </c>
      <c r="N139" s="16">
        <f t="shared" si="162"/>
        <v>-1</v>
      </c>
      <c r="O139" s="16" t="e">
        <f t="shared" si="162"/>
        <v>#DIV/0!</v>
      </c>
      <c r="P139" s="16" t="e">
        <f t="shared" si="162"/>
        <v>#DIV/0!</v>
      </c>
    </row>
    <row r="142" spans="2:23" x14ac:dyDescent="0.25">
      <c r="B142" s="1" t="s">
        <v>173</v>
      </c>
      <c r="C142" s="4">
        <f t="shared" ref="C142:I142" si="163">C30-C24-C25-C29+C14</f>
        <v>0</v>
      </c>
      <c r="D142" s="4">
        <f t="shared" si="163"/>
        <v>0</v>
      </c>
      <c r="E142" s="4">
        <f t="shared" si="163"/>
        <v>236.16799999999995</v>
      </c>
      <c r="F142" s="4">
        <f t="shared" si="163"/>
        <v>-55.207000000000029</v>
      </c>
      <c r="G142" s="4">
        <f t="shared" si="163"/>
        <v>-99.505000000000024</v>
      </c>
      <c r="H142" s="4">
        <f t="shared" si="163"/>
        <v>215.53899999999999</v>
      </c>
      <c r="I142" s="4">
        <f t="shared" si="163"/>
        <v>-219.05199999999999</v>
      </c>
      <c r="J142" s="4">
        <f>J30-J24-J25-J29+J14</f>
        <v>305.68800000000005</v>
      </c>
      <c r="K142" s="4">
        <f t="shared" ref="K142:L142" si="164">K30-K24-K25-K29+K14</f>
        <v>0</v>
      </c>
      <c r="L142" s="4">
        <f t="shared" si="164"/>
        <v>0</v>
      </c>
      <c r="T142" s="4">
        <f t="shared" ref="T142:W142" si="165">T30-T24-T25-T29+T14</f>
        <v>-413.80400000000003</v>
      </c>
      <c r="U142" s="4">
        <f t="shared" si="165"/>
        <v>189.56099999999998</v>
      </c>
      <c r="V142" s="4">
        <f t="shared" si="165"/>
        <v>296.995</v>
      </c>
      <c r="W142" s="4">
        <f t="shared" si="165"/>
        <v>86.635999999999996</v>
      </c>
    </row>
    <row r="143" spans="2:23" x14ac:dyDescent="0.25">
      <c r="B143" s="1" t="s">
        <v>174</v>
      </c>
      <c r="C143" s="4">
        <f t="shared" ref="C143:I143" si="166">+C142+C99+C12+C16+C18-C26+C20-C27+C21+C19</f>
        <v>0</v>
      </c>
      <c r="D143" s="4">
        <f t="shared" si="166"/>
        <v>0</v>
      </c>
      <c r="E143" s="4">
        <f t="shared" si="166"/>
        <v>245.65999999999994</v>
      </c>
      <c r="F143" s="4">
        <f t="shared" si="166"/>
        <v>-75.17000000000003</v>
      </c>
      <c r="G143" s="4">
        <f t="shared" si="166"/>
        <v>-3.5510000000000339</v>
      </c>
      <c r="H143" s="4">
        <f t="shared" si="166"/>
        <v>296.33599999999996</v>
      </c>
      <c r="I143" s="4">
        <f t="shared" si="166"/>
        <v>-176.26800000000003</v>
      </c>
      <c r="J143" s="4">
        <f>+J142+J99+J12+J16+J18-J26+J20-J27+J21+J19</f>
        <v>495.27900000000011</v>
      </c>
      <c r="K143" s="4">
        <f t="shared" ref="K143:L143" si="167">+K142+K99+K12+K16+K18-K26+K20-K27+K21+K19</f>
        <v>0</v>
      </c>
      <c r="L143" s="4">
        <f t="shared" si="167"/>
        <v>0</v>
      </c>
      <c r="T143" s="4">
        <f t="shared" ref="T143" si="168">+T142+T99+T12+T16+T18-T26+T20-T27+T21+T19</f>
        <v>49.928999999999974</v>
      </c>
      <c r="U143" s="4">
        <f t="shared" ref="U143" si="169">+U142+U99+U12+U16+U18-U26+U20-U27+U21+U19</f>
        <v>214.11200000000002</v>
      </c>
      <c r="V143" s="4">
        <f t="shared" ref="V143" si="170">+V142+V99+V12+V16+V18-V26+V20-V27+V21+V19</f>
        <v>463.27499999999998</v>
      </c>
      <c r="W143" s="4">
        <f t="shared" ref="W143" si="171">+W142+W99+W12+W16+W18-W26+W20-W27+W21+W19</f>
        <v>259.31099999999998</v>
      </c>
    </row>
    <row r="144" spans="2:23" x14ac:dyDescent="0.25"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2:28" s="16" customFormat="1" x14ac:dyDescent="0.25">
      <c r="B145" s="16" t="s">
        <v>175</v>
      </c>
      <c r="C145" s="16" t="e">
        <f t="shared" ref="C145:I145" si="172">C142/C$6</f>
        <v>#DIV/0!</v>
      </c>
      <c r="D145" s="16" t="e">
        <f t="shared" si="172"/>
        <v>#DIV/0!</v>
      </c>
      <c r="E145" s="16">
        <f t="shared" si="172"/>
        <v>2.9783091202582725</v>
      </c>
      <c r="F145" s="16">
        <f t="shared" si="172"/>
        <v>-0.78851372582626378</v>
      </c>
      <c r="G145" s="16">
        <f t="shared" si="172"/>
        <v>-1.1736017738777631</v>
      </c>
      <c r="H145" s="16">
        <f t="shared" si="172"/>
        <v>1.5119177890011219</v>
      </c>
      <c r="I145" s="16">
        <f t="shared" si="172"/>
        <v>-1.3573088290878448</v>
      </c>
      <c r="J145" s="16">
        <f>J142/J$6</f>
        <v>1.9981174994117188</v>
      </c>
      <c r="K145" s="16" t="e">
        <f t="shared" ref="K145:L145" si="173">K142/K$6</f>
        <v>#DIV/0!</v>
      </c>
      <c r="L145" s="16" t="e">
        <f t="shared" si="173"/>
        <v>#DIV/0!</v>
      </c>
      <c r="T145" s="16">
        <f t="shared" ref="T145:W145" si="174">T142/T$6</f>
        <v>-1.5966446863267882</v>
      </c>
      <c r="U145" s="16">
        <f t="shared" si="174"/>
        <v>0.67537543422107404</v>
      </c>
      <c r="V145" s="16">
        <f t="shared" si="174"/>
        <v>0.78850463021961681</v>
      </c>
      <c r="W145" s="16">
        <f t="shared" si="174"/>
        <v>0.27558170974155066</v>
      </c>
    </row>
    <row r="146" spans="2:28" s="16" customFormat="1" x14ac:dyDescent="0.25">
      <c r="B146" s="16" t="s">
        <v>176</v>
      </c>
      <c r="C146" s="16" t="e">
        <f t="shared" ref="C146:L146" si="175">C143/C$6</f>
        <v>#DIV/0!</v>
      </c>
      <c r="D146" s="16" t="e">
        <f t="shared" si="175"/>
        <v>#DIV/0!</v>
      </c>
      <c r="E146" s="16">
        <f t="shared" si="175"/>
        <v>3.0980125100887808</v>
      </c>
      <c r="F146" s="16">
        <f t="shared" si="175"/>
        <v>-1.0736424143742684</v>
      </c>
      <c r="G146" s="16">
        <f t="shared" si="175"/>
        <v>-4.1881914467011463E-2</v>
      </c>
      <c r="H146" s="16">
        <f t="shared" si="175"/>
        <v>2.0786756453423112</v>
      </c>
      <c r="I146" s="16">
        <f t="shared" si="175"/>
        <v>-1.0922069311654596</v>
      </c>
      <c r="J146" s="16">
        <f t="shared" si="175"/>
        <v>3.2373715585536127</v>
      </c>
      <c r="K146" s="16" t="e">
        <f t="shared" si="175"/>
        <v>#DIV/0!</v>
      </c>
      <c r="L146" s="16" t="e">
        <f t="shared" si="175"/>
        <v>#DIV/0!</v>
      </c>
      <c r="T146" s="16">
        <f t="shared" ref="T146:W146" si="176">T143/T$6</f>
        <v>0.19264886889351038</v>
      </c>
      <c r="U146" s="16">
        <f t="shared" si="176"/>
        <v>0.76284670882693517</v>
      </c>
      <c r="V146" s="16">
        <f t="shared" si="176"/>
        <v>1.2299684592838027</v>
      </c>
      <c r="W146" s="16">
        <f t="shared" si="176"/>
        <v>0.82484612326043727</v>
      </c>
    </row>
    <row r="147" spans="2:28" s="16" customFormat="1" x14ac:dyDescent="0.25"/>
    <row r="148" spans="2:28" s="7" customFormat="1" x14ac:dyDescent="0.25">
      <c r="B148" s="7" t="s">
        <v>177</v>
      </c>
      <c r="G148" s="7" t="e">
        <f t="shared" ref="G148:I148" si="177">G142/C142-1</f>
        <v>#DIV/0!</v>
      </c>
      <c r="H148" s="7" t="e">
        <f t="shared" si="177"/>
        <v>#DIV/0!</v>
      </c>
      <c r="I148" s="7">
        <f t="shared" si="177"/>
        <v>-1.9275261678127436</v>
      </c>
      <c r="J148" s="7">
        <f>J142/F142-1</f>
        <v>-6.5371239154455028</v>
      </c>
      <c r="K148" s="7">
        <f t="shared" ref="K148:L148" si="178">K142/G142-1</f>
        <v>-1</v>
      </c>
      <c r="L148" s="7">
        <f t="shared" si="178"/>
        <v>-1</v>
      </c>
      <c r="U148" s="7">
        <f t="shared" ref="U148" si="179">U142/T142-1</f>
        <v>-1.4580936868662457</v>
      </c>
      <c r="V148" s="7">
        <f>V142/U142-1</f>
        <v>0.56675159974889366</v>
      </c>
      <c r="W148" s="7">
        <f t="shared" ref="W148:W149" si="180">W142/V142-1</f>
        <v>-0.70829138537685821</v>
      </c>
    </row>
    <row r="149" spans="2:28" s="7" customFormat="1" x14ac:dyDescent="0.25">
      <c r="B149" s="7" t="s">
        <v>178</v>
      </c>
      <c r="G149" s="7" t="e">
        <f t="shared" ref="G149:J149" si="181">G143/C143-1</f>
        <v>#DIV/0!</v>
      </c>
      <c r="H149" s="7" t="e">
        <f t="shared" si="181"/>
        <v>#DIV/0!</v>
      </c>
      <c r="I149" s="7">
        <f t="shared" si="181"/>
        <v>-1.7175282911340881</v>
      </c>
      <c r="J149" s="7">
        <f t="shared" si="181"/>
        <v>-7.5887854197153111</v>
      </c>
      <c r="K149" s="7">
        <f t="shared" ref="K149:L149" si="182">K143/G143-1</f>
        <v>-1</v>
      </c>
      <c r="L149" s="7">
        <f t="shared" si="182"/>
        <v>-1</v>
      </c>
      <c r="U149" s="7">
        <f t="shared" ref="U149:V149" si="183">U143/T143-1</f>
        <v>3.2883294277874606</v>
      </c>
      <c r="V149" s="7">
        <f t="shared" si="183"/>
        <v>1.163704042743984</v>
      </c>
      <c r="W149" s="7">
        <f t="shared" si="180"/>
        <v>-0.44026550105229079</v>
      </c>
    </row>
    <row r="151" spans="2:28" x14ac:dyDescent="0.25">
      <c r="B151" s="14" t="s">
        <v>145</v>
      </c>
    </row>
    <row r="152" spans="2:28" s="4" customFormat="1" x14ac:dyDescent="0.25">
      <c r="B152" s="4" t="s">
        <v>22</v>
      </c>
      <c r="G152" s="4">
        <f>16.263+8.8</f>
        <v>25.063000000000002</v>
      </c>
      <c r="H152" s="4">
        <f>69.811+15.72</f>
        <v>85.531000000000006</v>
      </c>
      <c r="I152" s="4">
        <f>14.903+116.419</f>
        <v>131.322</v>
      </c>
      <c r="J152" s="4">
        <v>119.38500000000001</v>
      </c>
      <c r="Y152" s="4">
        <v>68.445999999999998</v>
      </c>
      <c r="Z152" s="4">
        <v>44.173000000000002</v>
      </c>
      <c r="AA152" s="4">
        <v>6.766</v>
      </c>
      <c r="AB152" s="4">
        <v>0</v>
      </c>
    </row>
    <row r="153" spans="2:28" s="4" customFormat="1" x14ac:dyDescent="0.25">
      <c r="B153" s="4" t="s">
        <v>23</v>
      </c>
      <c r="G153" s="4">
        <v>0.41099999999999998</v>
      </c>
      <c r="H153" s="4">
        <v>0.38800000000000001</v>
      </c>
      <c r="I153" s="4">
        <v>0.36399999999999999</v>
      </c>
      <c r="J153" s="4">
        <v>0.34</v>
      </c>
      <c r="Y153" s="4">
        <v>4.9000000000000002E-2</v>
      </c>
      <c r="Z153" s="4">
        <v>9.7000000000000003E-2</v>
      </c>
      <c r="AA153" s="4">
        <v>9.7000000000000003E-2</v>
      </c>
      <c r="AB153" s="4">
        <v>9.7000000000000003E-2</v>
      </c>
    </row>
    <row r="154" spans="2:28" s="5" customFormat="1" x14ac:dyDescent="0.25">
      <c r="B154" s="5" t="s">
        <v>146</v>
      </c>
      <c r="F154" s="5">
        <f t="shared" ref="F154:I154" si="184">SUM(F152:F153)</f>
        <v>0</v>
      </c>
      <c r="G154" s="5">
        <f t="shared" si="184"/>
        <v>25.474000000000004</v>
      </c>
      <c r="H154" s="5">
        <f t="shared" si="184"/>
        <v>85.919000000000011</v>
      </c>
      <c r="I154" s="5">
        <f t="shared" si="184"/>
        <v>131.68600000000001</v>
      </c>
      <c r="J154" s="5">
        <f>SUM(J152:J153)</f>
        <v>119.72500000000001</v>
      </c>
      <c r="K154" s="5">
        <f t="shared" ref="K154:L154" si="185">SUM(K152:K153)</f>
        <v>0</v>
      </c>
      <c r="L154" s="5">
        <f t="shared" si="185"/>
        <v>0</v>
      </c>
      <c r="Y154" s="5">
        <f>SUM(Y152:Y153)</f>
        <v>68.495000000000005</v>
      </c>
      <c r="Z154" s="5">
        <f t="shared" ref="Z154:AB154" si="186">SUM(Z152:Z153)</f>
        <v>44.27</v>
      </c>
      <c r="AA154" s="5">
        <f t="shared" si="186"/>
        <v>6.8630000000000004</v>
      </c>
      <c r="AB154" s="5">
        <f t="shared" si="186"/>
        <v>9.7000000000000003E-2</v>
      </c>
    </row>
    <row r="157" spans="2:28" s="7" customFormat="1" x14ac:dyDescent="0.25">
      <c r="B157" s="7" t="s">
        <v>147</v>
      </c>
      <c r="G157" s="7" t="e">
        <f t="shared" ref="G157:I157" si="187">G154/C154-1</f>
        <v>#DIV/0!</v>
      </c>
      <c r="H157" s="7" t="e">
        <f t="shared" si="187"/>
        <v>#DIV/0!</v>
      </c>
      <c r="I157" s="7" t="e">
        <f t="shared" si="187"/>
        <v>#DIV/0!</v>
      </c>
      <c r="J157" s="7" t="e">
        <f>J154/F154-1</f>
        <v>#DIV/0!</v>
      </c>
      <c r="K157" s="7">
        <f t="shared" ref="K157:L157" si="188">K154/G154-1</f>
        <v>-1</v>
      </c>
      <c r="L157" s="7">
        <f t="shared" si="188"/>
        <v>-1</v>
      </c>
    </row>
    <row r="158" spans="2:28" s="7" customFormat="1" x14ac:dyDescent="0.25">
      <c r="B158" s="21" t="s">
        <v>227</v>
      </c>
      <c r="D158" s="7" t="e">
        <f t="shared" ref="D158:I158" si="189">D154/C154-1</f>
        <v>#DIV/0!</v>
      </c>
      <c r="E158" s="7" t="e">
        <f t="shared" si="189"/>
        <v>#DIV/0!</v>
      </c>
      <c r="F158" s="7" t="e">
        <f t="shared" si="189"/>
        <v>#DIV/0!</v>
      </c>
      <c r="G158" s="7" t="e">
        <f t="shared" si="189"/>
        <v>#DIV/0!</v>
      </c>
      <c r="H158" s="7">
        <f t="shared" si="189"/>
        <v>2.3728114940723875</v>
      </c>
      <c r="I158" s="7">
        <f t="shared" si="189"/>
        <v>0.5326761251876766</v>
      </c>
      <c r="J158" s="7">
        <f>J154/I154-1</f>
        <v>-9.0829700955302739E-2</v>
      </c>
      <c r="K158" s="7">
        <f t="shared" ref="K158:L158" si="190">K154/J154-1</f>
        <v>-1</v>
      </c>
      <c r="L158" s="7" t="e">
        <f t="shared" si="190"/>
        <v>#DIV/0!</v>
      </c>
    </row>
    <row r="161" spans="2:23" s="5" customFormat="1" x14ac:dyDescent="0.25">
      <c r="B161" s="5" t="s">
        <v>153</v>
      </c>
      <c r="E161" s="5">
        <v>311.178</v>
      </c>
      <c r="F161" s="5">
        <v>311.178</v>
      </c>
      <c r="G161" s="5">
        <v>311.178</v>
      </c>
      <c r="H161" s="5">
        <v>311.178</v>
      </c>
      <c r="I161" s="5">
        <v>1654.4680000000001</v>
      </c>
      <c r="J161" s="5">
        <v>1654.4680000000001</v>
      </c>
      <c r="U161" s="5">
        <v>109.42</v>
      </c>
      <c r="V161" s="5">
        <f>+U167</f>
        <v>311.178</v>
      </c>
      <c r="W161" s="5">
        <f>+V167</f>
        <v>1654.4660000000001</v>
      </c>
    </row>
    <row r="162" spans="2:23" s="4" customFormat="1" x14ac:dyDescent="0.25">
      <c r="B162" s="4" t="s">
        <v>148</v>
      </c>
      <c r="E162" s="4">
        <v>71.396000000000001</v>
      </c>
      <c r="F162" s="4">
        <v>127.16</v>
      </c>
      <c r="G162" s="4">
        <v>194.65100000000001</v>
      </c>
      <c r="H162" s="4">
        <v>321</v>
      </c>
      <c r="I162" s="4">
        <v>142.85900000000001</v>
      </c>
      <c r="J162" s="4">
        <v>283.74799999999999</v>
      </c>
      <c r="U162" s="4">
        <v>188.99600000000001</v>
      </c>
      <c r="V162" s="4">
        <v>321</v>
      </c>
    </row>
    <row r="163" spans="2:23" s="4" customFormat="1" x14ac:dyDescent="0.25">
      <c r="B163" s="4" t="s">
        <v>149</v>
      </c>
      <c r="E163" s="4">
        <v>-0.08</v>
      </c>
      <c r="F163" s="4">
        <v>0.249</v>
      </c>
      <c r="G163" s="4">
        <v>-9.2999999999999999E-2</v>
      </c>
      <c r="H163" s="4">
        <v>-0.625</v>
      </c>
      <c r="I163" s="4">
        <v>0.20799999999999999</v>
      </c>
      <c r="J163" s="4">
        <v>-0.27200000000000002</v>
      </c>
      <c r="U163" s="4">
        <v>-0.878</v>
      </c>
      <c r="V163" s="4">
        <v>-0.625</v>
      </c>
    </row>
    <row r="164" spans="2:23" s="4" customFormat="1" x14ac:dyDescent="0.25">
      <c r="B164" s="4" t="s">
        <v>150</v>
      </c>
      <c r="E164" s="4">
        <v>-9.5180000000000007</v>
      </c>
      <c r="F164" s="4">
        <v>-9.5180000000000007</v>
      </c>
      <c r="G164" s="4">
        <v>-9.5180000000000007</v>
      </c>
      <c r="H164" s="4">
        <v>-9.5180000000000007</v>
      </c>
      <c r="I164" s="4">
        <v>0</v>
      </c>
      <c r="J164" s="4">
        <v>-131.80000000000001</v>
      </c>
      <c r="U164" s="4">
        <v>-176.21899999999999</v>
      </c>
      <c r="V164" s="4">
        <v>-9.5180000000000007</v>
      </c>
    </row>
    <row r="165" spans="2:23" s="4" customFormat="1" x14ac:dyDescent="0.25">
      <c r="B165" s="4" t="s">
        <v>151</v>
      </c>
      <c r="E165" s="4">
        <v>-1.4610000000000001</v>
      </c>
      <c r="F165" s="4">
        <v>-1.6919999999999999</v>
      </c>
      <c r="G165" s="4">
        <v>-2.0990000000000002</v>
      </c>
      <c r="H165" s="4">
        <v>-2.4780000000000002</v>
      </c>
      <c r="I165" s="4">
        <v>-2.95</v>
      </c>
      <c r="J165" s="4">
        <v>-3.3340000000000001</v>
      </c>
      <c r="U165" s="4">
        <v>-0.86899999999999999</v>
      </c>
      <c r="V165" s="4">
        <v>-2.4780000000000002</v>
      </c>
    </row>
    <row r="166" spans="2:23" s="4" customFormat="1" x14ac:dyDescent="0.25">
      <c r="B166" s="4" t="s">
        <v>152</v>
      </c>
      <c r="E166" s="4">
        <v>234</v>
      </c>
      <c r="F166" s="4">
        <v>157.67699999999999</v>
      </c>
      <c r="G166" s="4">
        <v>166.23099999999999</v>
      </c>
      <c r="H166" s="4">
        <v>1034.9090000000001</v>
      </c>
      <c r="I166" s="4">
        <v>-208</v>
      </c>
      <c r="J166" s="4">
        <v>262.77199999999999</v>
      </c>
      <c r="U166" s="4">
        <f>184.734+5.994</f>
        <v>190.72800000000001</v>
      </c>
      <c r="V166" s="4">
        <f>457.409+577.5</f>
        <v>1034.9090000000001</v>
      </c>
    </row>
    <row r="167" spans="2:23" s="5" customFormat="1" x14ac:dyDescent="0.25">
      <c r="B167" s="5" t="s">
        <v>154</v>
      </c>
      <c r="C167" s="5">
        <f t="shared" ref="C167:I167" si="191">SUM(C161:C166)</f>
        <v>0</v>
      </c>
      <c r="D167" s="5">
        <f t="shared" si="191"/>
        <v>0</v>
      </c>
      <c r="E167" s="5">
        <f t="shared" si="191"/>
        <v>605.51499999999999</v>
      </c>
      <c r="F167" s="5">
        <f t="shared" si="191"/>
        <v>585.05399999999997</v>
      </c>
      <c r="G167" s="5">
        <f t="shared" si="191"/>
        <v>660.34999999999991</v>
      </c>
      <c r="H167" s="5">
        <v>1654.4660000000001</v>
      </c>
      <c r="I167" s="5">
        <f t="shared" si="191"/>
        <v>1586.585</v>
      </c>
      <c r="J167" s="5">
        <f>SUM(J161:J166)</f>
        <v>2065.5820000000003</v>
      </c>
      <c r="K167" s="5">
        <f t="shared" ref="K167:M167" si="192">SUM(K161:K166)</f>
        <v>0</v>
      </c>
      <c r="L167" s="5">
        <f t="shared" si="192"/>
        <v>0</v>
      </c>
      <c r="M167" s="5">
        <f t="shared" si="192"/>
        <v>0</v>
      </c>
      <c r="U167" s="5">
        <f t="shared" ref="U167:W167" si="193">SUM(U161:U166)</f>
        <v>311.178</v>
      </c>
      <c r="V167" s="5">
        <f t="shared" si="193"/>
        <v>1654.4660000000001</v>
      </c>
      <c r="W167" s="5">
        <f t="shared" si="193"/>
        <v>1654.4660000000001</v>
      </c>
    </row>
    <row r="168" spans="2:23" s="4" customFormat="1" x14ac:dyDescent="0.25"/>
    <row r="169" spans="2:23" s="3" customFormat="1" x14ac:dyDescent="0.25">
      <c r="B169" s="3" t="s">
        <v>155</v>
      </c>
      <c r="C169" s="3">
        <v>7327</v>
      </c>
      <c r="D169" s="3">
        <v>7362</v>
      </c>
      <c r="E169" s="3">
        <v>8490</v>
      </c>
      <c r="F169" s="3">
        <v>9334</v>
      </c>
      <c r="G169" s="3">
        <v>10427</v>
      </c>
      <c r="H169" s="3">
        <v>17722</v>
      </c>
      <c r="I169" s="3">
        <v>19223</v>
      </c>
      <c r="J169" s="3">
        <v>19273</v>
      </c>
      <c r="U169" s="3">
        <v>7362</v>
      </c>
      <c r="V169" s="3">
        <v>17722</v>
      </c>
    </row>
    <row r="172" spans="2:23" x14ac:dyDescent="0.25">
      <c r="B172" s="14" t="s">
        <v>63</v>
      </c>
    </row>
    <row r="173" spans="2:23" s="4" customFormat="1" x14ac:dyDescent="0.25">
      <c r="B173" s="4" t="s">
        <v>156</v>
      </c>
      <c r="D173" s="4">
        <v>348.86500000000001</v>
      </c>
      <c r="G173" s="4">
        <v>650.13900000000001</v>
      </c>
      <c r="H173" s="4">
        <v>715.86199999999997</v>
      </c>
      <c r="I173" s="4">
        <v>751.94</v>
      </c>
      <c r="J173" s="4">
        <v>768.6</v>
      </c>
    </row>
    <row r="174" spans="2:23" s="4" customFormat="1" x14ac:dyDescent="0.25">
      <c r="B174" s="4" t="s">
        <v>157</v>
      </c>
      <c r="D174" s="4">
        <v>10.32</v>
      </c>
      <c r="G174" s="4">
        <v>10.904</v>
      </c>
      <c r="H174" s="4">
        <v>10.9</v>
      </c>
      <c r="I174" s="4">
        <v>10.95</v>
      </c>
      <c r="J174" s="4">
        <v>17.779</v>
      </c>
    </row>
    <row r="175" spans="2:23" s="4" customFormat="1" x14ac:dyDescent="0.25">
      <c r="B175" s="4" t="s">
        <v>158</v>
      </c>
      <c r="D175" s="4">
        <v>496.23</v>
      </c>
      <c r="G175" s="4">
        <v>853.25800000000004</v>
      </c>
      <c r="H175" s="4">
        <v>927.86599999999999</v>
      </c>
      <c r="I175" s="4">
        <v>910.1</v>
      </c>
      <c r="J175" s="4">
        <v>914.12</v>
      </c>
    </row>
    <row r="176" spans="2:23" s="4" customFormat="1" x14ac:dyDescent="0.25">
      <c r="B176" s="4" t="s">
        <v>159</v>
      </c>
      <c r="D176" s="4">
        <v>39.143999999999998</v>
      </c>
      <c r="G176" s="4">
        <v>43.18</v>
      </c>
      <c r="H176" s="4">
        <v>44.377000000000002</v>
      </c>
      <c r="I176" s="4">
        <v>45.6</v>
      </c>
      <c r="J176" s="4">
        <v>48.13</v>
      </c>
    </row>
    <row r="177" spans="2:22" s="4" customFormat="1" x14ac:dyDescent="0.25">
      <c r="B177" s="4" t="s">
        <v>160</v>
      </c>
      <c r="D177" s="4">
        <v>2.1080000000000001</v>
      </c>
      <c r="G177" s="4">
        <v>2.7650000000000001</v>
      </c>
      <c r="H177" s="4">
        <v>3.081</v>
      </c>
      <c r="I177" s="4">
        <v>33.799999999999997</v>
      </c>
      <c r="J177" s="4">
        <v>3.4279999999999999</v>
      </c>
    </row>
    <row r="178" spans="2:22" s="4" customFormat="1" x14ac:dyDescent="0.25">
      <c r="B178" s="4" t="s">
        <v>161</v>
      </c>
      <c r="D178" s="4">
        <v>166.97</v>
      </c>
      <c r="G178" s="4">
        <v>84.233999999999995</v>
      </c>
      <c r="H178" s="4">
        <v>82.965000000000003</v>
      </c>
      <c r="I178" s="4">
        <v>86</v>
      </c>
      <c r="J178" s="4">
        <v>115.666</v>
      </c>
    </row>
    <row r="179" spans="2:22" s="4" customFormat="1" x14ac:dyDescent="0.25">
      <c r="B179" s="4" t="s">
        <v>162</v>
      </c>
      <c r="D179" s="4">
        <v>-359.44299999999998</v>
      </c>
      <c r="G179" s="4">
        <v>-471.20499999999998</v>
      </c>
      <c r="H179" s="4">
        <v>-446.26799999999997</v>
      </c>
      <c r="I179" s="4">
        <v>-500.9</v>
      </c>
      <c r="J179" s="4">
        <v>-566.00699999999995</v>
      </c>
    </row>
    <row r="180" spans="2:22" s="5" customFormat="1" x14ac:dyDescent="0.25">
      <c r="B180" s="5" t="s">
        <v>163</v>
      </c>
      <c r="C180" s="5">
        <f t="shared" ref="C180:I180" si="194">SUM(C173:C179)</f>
        <v>0</v>
      </c>
      <c r="D180" s="5">
        <f t="shared" si="194"/>
        <v>704.19399999999996</v>
      </c>
      <c r="E180" s="5">
        <f t="shared" si="194"/>
        <v>0</v>
      </c>
      <c r="F180" s="5">
        <f t="shared" si="194"/>
        <v>0</v>
      </c>
      <c r="G180" s="5">
        <f t="shared" si="194"/>
        <v>1173.2750000000001</v>
      </c>
      <c r="H180" s="5">
        <f t="shared" si="194"/>
        <v>1338.7829999999997</v>
      </c>
      <c r="I180" s="5">
        <f t="shared" si="194"/>
        <v>1337.4900000000002</v>
      </c>
      <c r="J180" s="5">
        <f>SUM(J173:J179)</f>
        <v>1301.7160000000003</v>
      </c>
      <c r="K180" s="5">
        <f t="shared" ref="K180:M180" si="195">SUM(K173:K179)</f>
        <v>0</v>
      </c>
      <c r="L180" s="5">
        <f t="shared" si="195"/>
        <v>0</v>
      </c>
      <c r="M180" s="5">
        <f t="shared" si="195"/>
        <v>0</v>
      </c>
    </row>
    <row r="182" spans="2:22" x14ac:dyDescent="0.25">
      <c r="B182" s="14" t="s">
        <v>172</v>
      </c>
    </row>
    <row r="183" spans="2:22" s="4" customFormat="1" x14ac:dyDescent="0.25">
      <c r="B183" s="1">
        <v>2025</v>
      </c>
      <c r="G183" s="4">
        <v>210</v>
      </c>
      <c r="H183" s="4">
        <v>245.9</v>
      </c>
      <c r="I183" s="4">
        <v>183.11699999999999</v>
      </c>
      <c r="J183" s="4">
        <v>125.435</v>
      </c>
    </row>
    <row r="184" spans="2:22" s="4" customFormat="1" x14ac:dyDescent="0.25">
      <c r="B184" s="1">
        <v>2026</v>
      </c>
      <c r="G184" s="4">
        <v>135.27000000000001</v>
      </c>
      <c r="H184" s="4">
        <v>203.5</v>
      </c>
      <c r="I184" s="4">
        <v>204.98599999999999</v>
      </c>
      <c r="J184" s="4">
        <v>209</v>
      </c>
    </row>
    <row r="185" spans="2:22" s="4" customFormat="1" x14ac:dyDescent="0.25">
      <c r="B185" s="1">
        <v>2027</v>
      </c>
      <c r="G185" s="4">
        <v>73.311000000000007</v>
      </c>
      <c r="H185" s="4">
        <v>143.15600000000001</v>
      </c>
      <c r="I185" s="4">
        <v>144.643</v>
      </c>
      <c r="J185" s="4">
        <v>150.214</v>
      </c>
    </row>
    <row r="186" spans="2:22" s="4" customFormat="1" x14ac:dyDescent="0.25">
      <c r="B186" s="1">
        <v>2028</v>
      </c>
      <c r="I186" s="4">
        <v>7.2629999999999999</v>
      </c>
      <c r="J186" s="4">
        <v>15.198</v>
      </c>
    </row>
    <row r="187" spans="2:22" s="5" customFormat="1" x14ac:dyDescent="0.25">
      <c r="B187" s="5" t="s">
        <v>146</v>
      </c>
      <c r="C187" s="5">
        <f t="shared" ref="C187:I187" si="196">SUM(C183:C186)</f>
        <v>0</v>
      </c>
      <c r="D187" s="5">
        <f t="shared" si="196"/>
        <v>0</v>
      </c>
      <c r="E187" s="5">
        <f t="shared" si="196"/>
        <v>0</v>
      </c>
      <c r="F187" s="5">
        <f t="shared" si="196"/>
        <v>0</v>
      </c>
      <c r="G187" s="5">
        <f t="shared" si="196"/>
        <v>418.58100000000002</v>
      </c>
      <c r="H187" s="5">
        <f t="shared" si="196"/>
        <v>592.55600000000004</v>
      </c>
      <c r="I187" s="5">
        <f t="shared" si="196"/>
        <v>540.00900000000001</v>
      </c>
      <c r="J187" s="5">
        <f>SUM(J183:J186)</f>
        <v>499.84699999999998</v>
      </c>
      <c r="K187" s="5">
        <f>SUM(K183:K186)</f>
        <v>0</v>
      </c>
    </row>
    <row r="189" spans="2:22" ht="14.4" x14ac:dyDescent="0.3">
      <c r="B189" s="8" t="s">
        <v>164</v>
      </c>
    </row>
    <row r="190" spans="2:22" s="4" customFormat="1" x14ac:dyDescent="0.25">
      <c r="B190" s="4" t="s">
        <v>165</v>
      </c>
      <c r="C190" s="4">
        <v>5</v>
      </c>
      <c r="D190" s="4">
        <v>8.6</v>
      </c>
      <c r="E190" s="4">
        <v>8.6</v>
      </c>
      <c r="F190" s="4">
        <v>7.7</v>
      </c>
      <c r="G190" s="4">
        <v>9.1999999999999993</v>
      </c>
      <c r="H190" s="4">
        <v>9.1999999999999993</v>
      </c>
      <c r="I190" s="4">
        <v>12.9</v>
      </c>
      <c r="J190" s="4">
        <v>13.1</v>
      </c>
      <c r="T190" s="4">
        <v>3.1</v>
      </c>
      <c r="U190" s="4">
        <v>8.6</v>
      </c>
      <c r="V190" s="4">
        <v>9.1999999999999993</v>
      </c>
    </row>
    <row r="191" spans="2:22" s="4" customFormat="1" x14ac:dyDescent="0.25">
      <c r="B191" s="4" t="s">
        <v>166</v>
      </c>
      <c r="C191" s="24"/>
      <c r="D191" s="24"/>
      <c r="E191" s="24"/>
      <c r="F191" s="4">
        <v>3.6</v>
      </c>
      <c r="G191" s="4">
        <v>6.5</v>
      </c>
      <c r="H191" s="4">
        <v>5.0999999999999996</v>
      </c>
      <c r="I191" s="4">
        <v>14.2</v>
      </c>
      <c r="J191" s="4">
        <v>14.1</v>
      </c>
      <c r="T191" s="20"/>
      <c r="U191" s="20"/>
      <c r="V191" s="4">
        <v>5.0999999999999996</v>
      </c>
    </row>
    <row r="192" spans="2:22" s="4" customFormat="1" x14ac:dyDescent="0.25">
      <c r="B192" s="4" t="s">
        <v>167</v>
      </c>
      <c r="C192" s="20"/>
      <c r="D192" s="20"/>
      <c r="E192" s="20"/>
      <c r="F192" s="20"/>
      <c r="G192" s="4">
        <v>1</v>
      </c>
      <c r="H192" s="4">
        <v>0.6</v>
      </c>
      <c r="I192" s="4">
        <v>2.6</v>
      </c>
      <c r="J192" s="4">
        <v>4.5</v>
      </c>
      <c r="T192" s="20"/>
      <c r="U192" s="20"/>
      <c r="V192" s="4">
        <v>0.6</v>
      </c>
    </row>
    <row r="193" spans="2:22" s="5" customFormat="1" x14ac:dyDescent="0.25">
      <c r="B193" s="5" t="s">
        <v>146</v>
      </c>
      <c r="C193" s="5">
        <f t="shared" ref="C193:I193" si="197">SUM(C190:C192)</f>
        <v>5</v>
      </c>
      <c r="D193" s="5">
        <f t="shared" si="197"/>
        <v>8.6</v>
      </c>
      <c r="E193" s="5">
        <f t="shared" si="197"/>
        <v>8.6</v>
      </c>
      <c r="F193" s="5">
        <f t="shared" si="197"/>
        <v>11.3</v>
      </c>
      <c r="G193" s="5">
        <f t="shared" si="197"/>
        <v>16.7</v>
      </c>
      <c r="H193" s="5">
        <f t="shared" si="197"/>
        <v>14.899999999999999</v>
      </c>
      <c r="I193" s="5">
        <f t="shared" si="197"/>
        <v>29.700000000000003</v>
      </c>
      <c r="J193" s="5">
        <f>SUM(J190:J192)</f>
        <v>31.7</v>
      </c>
      <c r="K193" s="5">
        <f t="shared" ref="K193:L193" si="198">SUM(K190:K192)</f>
        <v>0</v>
      </c>
      <c r="L193" s="5">
        <f t="shared" si="198"/>
        <v>0</v>
      </c>
      <c r="T193" s="5">
        <f t="shared" ref="T193:V193" si="199">SUM(T190:T192)</f>
        <v>3.1</v>
      </c>
      <c r="U193" s="5">
        <f t="shared" si="199"/>
        <v>8.6</v>
      </c>
      <c r="V193" s="5">
        <f t="shared" si="199"/>
        <v>14.899999999999999</v>
      </c>
    </row>
    <row r="194" spans="2:22" s="4" customFormat="1" x14ac:dyDescent="0.25">
      <c r="B194" s="17" t="s">
        <v>169</v>
      </c>
    </row>
    <row r="195" spans="2:22" s="4" customFormat="1" x14ac:dyDescent="0.25">
      <c r="B195" s="4" t="s">
        <v>165</v>
      </c>
      <c r="C195" s="4">
        <v>-1.6</v>
      </c>
      <c r="D195" s="4">
        <v>4.0999999999999996</v>
      </c>
      <c r="E195" s="4">
        <v>3.8</v>
      </c>
      <c r="F195" s="4">
        <v>1.9</v>
      </c>
      <c r="G195" s="4">
        <v>2.8</v>
      </c>
      <c r="H195" s="4">
        <v>3.2</v>
      </c>
      <c r="I195" s="4">
        <v>3.7</v>
      </c>
      <c r="J195" s="4">
        <v>3.6</v>
      </c>
      <c r="T195" s="4">
        <v>3</v>
      </c>
      <c r="U195" s="4">
        <v>4.0999999999999996</v>
      </c>
      <c r="V195" s="4">
        <v>3.2</v>
      </c>
    </row>
    <row r="196" spans="2:22" s="4" customFormat="1" x14ac:dyDescent="0.25">
      <c r="B196" s="4" t="s">
        <v>166</v>
      </c>
      <c r="C196" s="20"/>
      <c r="D196" s="20"/>
      <c r="E196" s="20"/>
      <c r="F196" s="4">
        <v>3.5</v>
      </c>
      <c r="G196" s="4">
        <v>3.8</v>
      </c>
      <c r="H196" s="4">
        <v>3.7</v>
      </c>
      <c r="I196" s="4">
        <v>3.4</v>
      </c>
      <c r="J196" s="4">
        <v>3.5</v>
      </c>
      <c r="T196" s="20"/>
      <c r="U196" s="20"/>
      <c r="V196" s="4">
        <v>3.7</v>
      </c>
    </row>
    <row r="197" spans="2:22" s="4" customFormat="1" x14ac:dyDescent="0.25">
      <c r="B197" s="4" t="s">
        <v>167</v>
      </c>
      <c r="C197" s="20"/>
      <c r="D197" s="20"/>
      <c r="E197" s="20"/>
      <c r="F197" s="20"/>
      <c r="G197" s="4">
        <v>3.8</v>
      </c>
      <c r="H197" s="4">
        <v>4.0999999999999996</v>
      </c>
      <c r="I197" s="4">
        <v>4.0999999999999996</v>
      </c>
      <c r="J197" s="4">
        <v>3.2</v>
      </c>
      <c r="T197" s="20"/>
      <c r="U197" s="20"/>
      <c r="V197" s="4">
        <v>4.0999999999999996</v>
      </c>
    </row>
    <row r="198" spans="2:22" s="5" customFormat="1" x14ac:dyDescent="0.25">
      <c r="B198" s="5" t="s">
        <v>168</v>
      </c>
      <c r="C198" s="5">
        <f t="shared" ref="C198" si="200">AVERAGE(C195:C197)</f>
        <v>-1.6</v>
      </c>
      <c r="D198" s="5">
        <f t="shared" ref="D198" si="201">AVERAGE(D195:D197)</f>
        <v>4.0999999999999996</v>
      </c>
      <c r="E198" s="5">
        <f t="shared" ref="E198" si="202">AVERAGE(E195:E197)</f>
        <v>3.8</v>
      </c>
      <c r="F198" s="5">
        <f t="shared" ref="F198" si="203">AVERAGE(F195:F197)</f>
        <v>2.7</v>
      </c>
      <c r="G198" s="5">
        <f t="shared" ref="G198" si="204">AVERAGE(G195:G197)</f>
        <v>3.4666666666666663</v>
      </c>
      <c r="H198" s="5">
        <f t="shared" ref="H198" si="205">AVERAGE(H195:H197)</f>
        <v>3.6666666666666665</v>
      </c>
      <c r="I198" s="5">
        <f t="shared" ref="I198" si="206">AVERAGE(I195:I197)</f>
        <v>3.7333333333333329</v>
      </c>
      <c r="J198" s="5">
        <f>AVERAGE(J195:J197)</f>
        <v>3.4333333333333336</v>
      </c>
      <c r="K198" s="5" t="e">
        <f t="shared" ref="K198" si="207">AVERAGE(K195:K197)</f>
        <v>#DIV/0!</v>
      </c>
      <c r="L198" s="5" t="e">
        <f t="shared" ref="L198" si="208">AVERAGE(L195:L197)</f>
        <v>#DIV/0!</v>
      </c>
      <c r="T198" s="5">
        <f t="shared" ref="T198:V198" si="209">AVERAGE(T195:T197)</f>
        <v>3</v>
      </c>
      <c r="U198" s="5">
        <f t="shared" si="209"/>
        <v>4.0999999999999996</v>
      </c>
      <c r="V198" s="5">
        <f t="shared" si="209"/>
        <v>3.6666666666666665</v>
      </c>
    </row>
    <row r="199" spans="2:22" s="4" customFormat="1" x14ac:dyDescent="0.25">
      <c r="B199" s="17" t="s">
        <v>170</v>
      </c>
    </row>
    <row r="200" spans="2:22" s="4" customFormat="1" x14ac:dyDescent="0.25">
      <c r="B200" s="4" t="s">
        <v>165</v>
      </c>
      <c r="C200" s="4">
        <v>10.6</v>
      </c>
      <c r="D200" s="4">
        <v>12.4</v>
      </c>
      <c r="E200" s="4">
        <v>12.4</v>
      </c>
      <c r="F200" s="4">
        <v>14.7</v>
      </c>
      <c r="G200" s="4">
        <v>14.8</v>
      </c>
      <c r="H200" s="4">
        <v>15</v>
      </c>
      <c r="I200" s="4">
        <v>15</v>
      </c>
      <c r="J200" s="4">
        <v>15</v>
      </c>
      <c r="T200" s="4">
        <v>9.6999999999999993</v>
      </c>
      <c r="U200" s="4">
        <v>12.4</v>
      </c>
      <c r="V200" s="4">
        <v>15</v>
      </c>
    </row>
    <row r="201" spans="2:22" s="4" customFormat="1" x14ac:dyDescent="0.25">
      <c r="B201" s="4" t="s">
        <v>166</v>
      </c>
      <c r="C201" s="20"/>
      <c r="D201" s="20"/>
      <c r="E201" s="20"/>
      <c r="F201" s="4">
        <v>7.3</v>
      </c>
      <c r="G201" s="4">
        <v>11.9</v>
      </c>
      <c r="H201" s="4">
        <v>14.1</v>
      </c>
      <c r="I201" s="4">
        <v>15.7</v>
      </c>
      <c r="J201" s="4">
        <v>15.7</v>
      </c>
      <c r="T201" s="20"/>
      <c r="U201" s="20"/>
      <c r="V201" s="4">
        <v>14.1</v>
      </c>
    </row>
    <row r="202" spans="2:22" s="4" customFormat="1" x14ac:dyDescent="0.25">
      <c r="B202" s="4" t="s">
        <v>167</v>
      </c>
      <c r="C202" s="20"/>
      <c r="D202" s="20"/>
      <c r="E202" s="20"/>
      <c r="F202" s="20"/>
      <c r="G202" s="4">
        <v>1.3</v>
      </c>
      <c r="H202" s="4">
        <v>2.4</v>
      </c>
      <c r="I202" s="4">
        <v>3</v>
      </c>
      <c r="J202" s="4">
        <v>4.7</v>
      </c>
      <c r="T202" s="20"/>
      <c r="U202" s="20"/>
      <c r="V202" s="4">
        <v>2.4</v>
      </c>
    </row>
    <row r="203" spans="2:22" s="5" customFormat="1" x14ac:dyDescent="0.25">
      <c r="B203" s="5" t="s">
        <v>146</v>
      </c>
      <c r="C203" s="5">
        <f t="shared" ref="C203:I203" si="210">SUM(C200:C202)</f>
        <v>10.6</v>
      </c>
      <c r="D203" s="5">
        <f t="shared" si="210"/>
        <v>12.4</v>
      </c>
      <c r="E203" s="5">
        <f t="shared" si="210"/>
        <v>12.4</v>
      </c>
      <c r="F203" s="5">
        <f t="shared" si="210"/>
        <v>22</v>
      </c>
      <c r="G203" s="5">
        <f t="shared" si="210"/>
        <v>28.000000000000004</v>
      </c>
      <c r="H203" s="5">
        <f t="shared" si="210"/>
        <v>31.5</v>
      </c>
      <c r="I203" s="5">
        <f t="shared" si="210"/>
        <v>33.700000000000003</v>
      </c>
      <c r="J203" s="5">
        <f>SUM(J200:J202)</f>
        <v>35.4</v>
      </c>
      <c r="K203" s="5">
        <f t="shared" ref="K203:L203" si="211">SUM(K200:K202)</f>
        <v>0</v>
      </c>
      <c r="L203" s="5">
        <f t="shared" si="211"/>
        <v>0</v>
      </c>
      <c r="T203" s="5">
        <f t="shared" ref="T203:V203" si="212">SUM(T200:T202)</f>
        <v>9.6999999999999993</v>
      </c>
      <c r="U203" s="5">
        <f t="shared" si="212"/>
        <v>12.4</v>
      </c>
      <c r="V203" s="5">
        <f t="shared" si="212"/>
        <v>31.5</v>
      </c>
    </row>
    <row r="204" spans="2:22" s="4" customFormat="1" x14ac:dyDescent="0.25">
      <c r="B204" s="17" t="s">
        <v>171</v>
      </c>
    </row>
    <row r="205" spans="2:22" s="3" customFormat="1" x14ac:dyDescent="0.25">
      <c r="B205" s="3" t="s">
        <v>165</v>
      </c>
      <c r="C205" s="3">
        <v>700</v>
      </c>
      <c r="D205" s="3">
        <v>700</v>
      </c>
      <c r="E205" s="3">
        <v>700</v>
      </c>
      <c r="F205" s="3">
        <v>700</v>
      </c>
      <c r="G205" s="3">
        <v>700</v>
      </c>
      <c r="H205" s="3">
        <v>700</v>
      </c>
      <c r="I205" s="3">
        <v>700</v>
      </c>
      <c r="J205" s="3">
        <v>700</v>
      </c>
      <c r="T205" s="3">
        <v>630</v>
      </c>
      <c r="U205" s="3">
        <v>700</v>
      </c>
      <c r="V205" s="3">
        <v>700</v>
      </c>
    </row>
    <row r="206" spans="2:22" s="3" customFormat="1" x14ac:dyDescent="0.25">
      <c r="B206" s="3" t="s">
        <v>166</v>
      </c>
      <c r="C206" s="24"/>
      <c r="D206" s="24"/>
      <c r="E206" s="24"/>
      <c r="F206" s="3">
        <v>200</v>
      </c>
      <c r="G206" s="3">
        <v>300</v>
      </c>
      <c r="H206" s="3">
        <v>400</v>
      </c>
      <c r="I206" s="3">
        <v>400</v>
      </c>
      <c r="J206" s="3">
        <v>400</v>
      </c>
      <c r="T206" s="20"/>
      <c r="U206" s="20"/>
      <c r="V206" s="3">
        <v>400</v>
      </c>
    </row>
    <row r="207" spans="2:22" s="3" customFormat="1" x14ac:dyDescent="0.25">
      <c r="B207" s="3" t="s">
        <v>167</v>
      </c>
      <c r="C207" s="20"/>
      <c r="D207" s="20"/>
      <c r="E207" s="20"/>
      <c r="F207" s="20"/>
      <c r="G207" s="3">
        <v>60</v>
      </c>
      <c r="H207" s="3">
        <v>60</v>
      </c>
      <c r="I207" s="3">
        <v>65</v>
      </c>
      <c r="J207" s="3">
        <v>65</v>
      </c>
      <c r="T207" s="20"/>
      <c r="U207" s="20"/>
      <c r="V207" s="3">
        <v>60</v>
      </c>
    </row>
    <row r="208" spans="2:22" s="15" customFormat="1" x14ac:dyDescent="0.25">
      <c r="B208" s="15" t="s">
        <v>146</v>
      </c>
      <c r="C208" s="15">
        <f t="shared" ref="C208:I208" si="213">SUM(C205:C207)</f>
        <v>700</v>
      </c>
      <c r="D208" s="15">
        <f t="shared" si="213"/>
        <v>700</v>
      </c>
      <c r="E208" s="15">
        <f t="shared" si="213"/>
        <v>700</v>
      </c>
      <c r="F208" s="15">
        <f t="shared" si="213"/>
        <v>900</v>
      </c>
      <c r="G208" s="15">
        <f t="shared" si="213"/>
        <v>1060</v>
      </c>
      <c r="H208" s="15">
        <f t="shared" si="213"/>
        <v>1160</v>
      </c>
      <c r="I208" s="15">
        <f t="shared" si="213"/>
        <v>1165</v>
      </c>
      <c r="J208" s="15">
        <f>SUM(J205:J207)</f>
        <v>1165</v>
      </c>
      <c r="K208" s="15">
        <f t="shared" ref="K208:L208" si="214">SUM(K205:K207)</f>
        <v>0</v>
      </c>
      <c r="L208" s="15">
        <f t="shared" si="214"/>
        <v>0</v>
      </c>
      <c r="T208" s="15">
        <f t="shared" ref="T208:V208" si="215">SUM(T205:T207)</f>
        <v>630</v>
      </c>
      <c r="U208" s="15">
        <f t="shared" si="215"/>
        <v>700</v>
      </c>
      <c r="V208" s="15">
        <f t="shared" si="215"/>
        <v>1160</v>
      </c>
    </row>
    <row r="210" spans="2:22" s="7" customFormat="1" x14ac:dyDescent="0.25">
      <c r="B210" s="7" t="s">
        <v>226</v>
      </c>
      <c r="G210" s="7">
        <f t="shared" ref="G210:I210" si="216">G208/C208-1</f>
        <v>0.51428571428571423</v>
      </c>
      <c r="H210" s="7">
        <f t="shared" si="216"/>
        <v>0.65714285714285725</v>
      </c>
      <c r="I210" s="7">
        <f t="shared" si="216"/>
        <v>0.66428571428571437</v>
      </c>
      <c r="J210" s="7">
        <f>J208/F208-1</f>
        <v>0.29444444444444451</v>
      </c>
      <c r="K210" s="7">
        <f t="shared" ref="K210:L210" si="217">K208/G208-1</f>
        <v>-1</v>
      </c>
      <c r="L210" s="7">
        <f t="shared" si="217"/>
        <v>-1</v>
      </c>
      <c r="U210" s="7">
        <f t="shared" ref="U210" si="218">U208/T208-1</f>
        <v>0.11111111111111116</v>
      </c>
      <c r="V210" s="7">
        <f>V208/U208-1</f>
        <v>0.65714285714285725</v>
      </c>
    </row>
    <row r="211" spans="2:22" x14ac:dyDescent="0.25">
      <c r="B211" s="3"/>
    </row>
    <row r="212" spans="2:22" x14ac:dyDescent="0.25">
      <c r="B212" s="3"/>
    </row>
    <row r="213" spans="2:22" x14ac:dyDescent="0.25">
      <c r="B213" s="3"/>
    </row>
  </sheetData>
  <phoneticPr fontId="7" type="noConversion"/>
  <hyperlinks>
    <hyperlink ref="A1" location="Main!A1" display="Main" xr:uid="{DE3C6A92-0425-4DD1-837E-3A35FEFB8C19}"/>
  </hyperlinks>
  <pageMargins left="0.7" right="0.7" top="0.75" bottom="0.75" header="0.3" footer="0.3"/>
  <ignoredErrors>
    <ignoredError sqref="J44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1365-5761-42D7-A190-B9D559607302}">
  <dimension ref="B2:O36"/>
  <sheetViews>
    <sheetView workbookViewId="0">
      <pane xSplit="14" ySplit="2" topLeftCell="O3" activePane="bottomRight" state="frozen"/>
      <selection pane="topRight" activeCell="O1" sqref="O1"/>
      <selection pane="bottomLeft" activeCell="A3" sqref="A3"/>
      <selection pane="bottomRight" activeCell="F36" sqref="F36"/>
    </sheetView>
  </sheetViews>
  <sheetFormatPr defaultRowHeight="14.4" x14ac:dyDescent="0.3"/>
  <cols>
    <col min="14" max="14" width="24.88671875" bestFit="1" customWidth="1"/>
  </cols>
  <sheetData>
    <row r="2" spans="2:15" x14ac:dyDescent="0.3">
      <c r="N2" t="s">
        <v>134</v>
      </c>
      <c r="O2" s="8" t="s">
        <v>122</v>
      </c>
    </row>
    <row r="3" spans="2:15" s="9" customFormat="1" x14ac:dyDescent="0.3">
      <c r="N3" s="9" t="s">
        <v>55</v>
      </c>
      <c r="O3" s="9">
        <v>915</v>
      </c>
    </row>
    <row r="4" spans="2:15" s="9" customFormat="1" x14ac:dyDescent="0.3">
      <c r="B4" s="9" t="s">
        <v>123</v>
      </c>
      <c r="N4" s="9" t="s">
        <v>58</v>
      </c>
      <c r="O4" s="9">
        <v>3958</v>
      </c>
    </row>
    <row r="5" spans="2:15" s="9" customFormat="1" x14ac:dyDescent="0.3">
      <c r="B5" s="9" t="s">
        <v>124</v>
      </c>
      <c r="N5" s="9" t="s">
        <v>127</v>
      </c>
      <c r="O5" s="9">
        <v>169</v>
      </c>
    </row>
    <row r="6" spans="2:15" s="9" customFormat="1" x14ac:dyDescent="0.3">
      <c r="B6" s="9" t="s">
        <v>125</v>
      </c>
      <c r="N6" s="9" t="s">
        <v>59</v>
      </c>
      <c r="O6" s="9">
        <v>1152</v>
      </c>
    </row>
    <row r="7" spans="2:15" s="9" customFormat="1" x14ac:dyDescent="0.3">
      <c r="B7" s="9" t="s">
        <v>126</v>
      </c>
      <c r="N7" s="9" t="s">
        <v>63</v>
      </c>
      <c r="O7" s="9">
        <v>136</v>
      </c>
    </row>
    <row r="8" spans="2:15" s="9" customFormat="1" x14ac:dyDescent="0.3">
      <c r="N8" s="9" t="s">
        <v>68</v>
      </c>
      <c r="O8" s="9">
        <v>612</v>
      </c>
    </row>
    <row r="9" spans="2:15" s="9" customFormat="1" x14ac:dyDescent="0.3">
      <c r="N9" s="9" t="s">
        <v>130</v>
      </c>
    </row>
    <row r="10" spans="2:15" s="9" customFormat="1" x14ac:dyDescent="0.3">
      <c r="N10" s="10" t="s">
        <v>128</v>
      </c>
      <c r="O10" s="9">
        <v>23100</v>
      </c>
    </row>
    <row r="11" spans="2:15" s="9" customFormat="1" x14ac:dyDescent="0.3">
      <c r="N11" s="10" t="s">
        <v>129</v>
      </c>
      <c r="O11" s="9">
        <v>1100</v>
      </c>
    </row>
    <row r="12" spans="2:15" s="9" customFormat="1" x14ac:dyDescent="0.3">
      <c r="N12" s="9" t="s">
        <v>72</v>
      </c>
      <c r="O12" s="9">
        <v>-1446</v>
      </c>
    </row>
    <row r="13" spans="2:15" s="9" customFormat="1" x14ac:dyDescent="0.3">
      <c r="N13" s="9" t="s">
        <v>76</v>
      </c>
      <c r="O13" s="9">
        <v>352</v>
      </c>
    </row>
    <row r="14" spans="2:15" s="9" customFormat="1" x14ac:dyDescent="0.3">
      <c r="N14" s="9" t="s">
        <v>131</v>
      </c>
      <c r="O14" s="9">
        <v>-254</v>
      </c>
    </row>
    <row r="15" spans="2:15" s="9" customFormat="1" x14ac:dyDescent="0.3">
      <c r="N15" s="9" t="s">
        <v>79</v>
      </c>
      <c r="O15" s="9">
        <v>-323</v>
      </c>
    </row>
    <row r="16" spans="2:15" s="9" customFormat="1" x14ac:dyDescent="0.3">
      <c r="N16" s="9" t="s">
        <v>81</v>
      </c>
      <c r="O16" s="9">
        <v>-289</v>
      </c>
    </row>
    <row r="17" spans="2:15" s="9" customFormat="1" x14ac:dyDescent="0.3">
      <c r="N17" s="9" t="s">
        <v>84</v>
      </c>
      <c r="O17" s="9">
        <v>-53</v>
      </c>
    </row>
    <row r="18" spans="2:15" s="11" customFormat="1" x14ac:dyDescent="0.3">
      <c r="N18" s="11" t="s">
        <v>132</v>
      </c>
      <c r="O18" s="11">
        <f>SUM(O3:O17)</f>
        <v>29129</v>
      </c>
    </row>
    <row r="19" spans="2:15" s="9" customFormat="1" x14ac:dyDescent="0.3">
      <c r="N19" s="9" t="s">
        <v>69</v>
      </c>
      <c r="O19" s="9">
        <v>25287</v>
      </c>
    </row>
    <row r="20" spans="2:15" s="11" customFormat="1" x14ac:dyDescent="0.3">
      <c r="N20" s="11" t="s">
        <v>133</v>
      </c>
      <c r="O20" s="11">
        <f>SUM(O18:O19)</f>
        <v>54416</v>
      </c>
    </row>
    <row r="22" spans="2:15" s="12" customFormat="1" x14ac:dyDescent="0.3"/>
    <row r="23" spans="2:15" s="12" customFormat="1" x14ac:dyDescent="0.3">
      <c r="O23" s="13" t="s">
        <v>135</v>
      </c>
    </row>
    <row r="24" spans="2:15" s="9" customFormat="1" x14ac:dyDescent="0.3">
      <c r="N24" s="9" t="s">
        <v>55</v>
      </c>
      <c r="O24" s="9">
        <v>6295</v>
      </c>
    </row>
    <row r="25" spans="2:15" s="9" customFormat="1" x14ac:dyDescent="0.3">
      <c r="B25" s="9" t="s">
        <v>137</v>
      </c>
      <c r="N25" s="9" t="s">
        <v>58</v>
      </c>
      <c r="O25" s="9">
        <v>362</v>
      </c>
    </row>
    <row r="26" spans="2:15" s="9" customFormat="1" x14ac:dyDescent="0.3">
      <c r="B26" s="9" t="s">
        <v>138</v>
      </c>
      <c r="N26" s="9" t="s">
        <v>127</v>
      </c>
      <c r="O26" s="9">
        <v>2877</v>
      </c>
    </row>
    <row r="27" spans="2:15" s="9" customFormat="1" x14ac:dyDescent="0.3">
      <c r="B27" s="9" t="s">
        <v>139</v>
      </c>
      <c r="N27" s="9" t="s">
        <v>63</v>
      </c>
      <c r="O27" s="9">
        <v>20165</v>
      </c>
    </row>
    <row r="28" spans="2:15" s="9" customFormat="1" x14ac:dyDescent="0.3">
      <c r="B28" s="9" t="s">
        <v>140</v>
      </c>
      <c r="N28" s="9" t="s">
        <v>68</v>
      </c>
      <c r="O28" s="9">
        <v>3733</v>
      </c>
    </row>
    <row r="29" spans="2:15" s="9" customFormat="1" x14ac:dyDescent="0.3">
      <c r="B29" s="9" t="s">
        <v>141</v>
      </c>
      <c r="N29" s="9" t="s">
        <v>72</v>
      </c>
      <c r="O29" s="9">
        <v>-1471</v>
      </c>
    </row>
    <row r="30" spans="2:15" s="9" customFormat="1" x14ac:dyDescent="0.3">
      <c r="B30" s="9" t="s">
        <v>142</v>
      </c>
      <c r="N30" s="9" t="s">
        <v>131</v>
      </c>
      <c r="O30" s="9">
        <v>-1180</v>
      </c>
    </row>
    <row r="31" spans="2:15" s="9" customFormat="1" x14ac:dyDescent="0.3">
      <c r="B31" s="9" t="s">
        <v>143</v>
      </c>
      <c r="N31" s="9" t="s">
        <v>79</v>
      </c>
      <c r="O31" s="9">
        <v>-2410</v>
      </c>
    </row>
    <row r="32" spans="2:15" s="9" customFormat="1" x14ac:dyDescent="0.3">
      <c r="B32" s="9" t="s">
        <v>144</v>
      </c>
      <c r="N32" s="9" t="s">
        <v>81</v>
      </c>
      <c r="O32" s="9">
        <v>-1323</v>
      </c>
    </row>
    <row r="33" spans="14:15" s="9" customFormat="1" x14ac:dyDescent="0.3">
      <c r="N33" s="9" t="s">
        <v>136</v>
      </c>
      <c r="O33" s="9">
        <v>-10678</v>
      </c>
    </row>
    <row r="34" spans="14:15" s="9" customFormat="1" x14ac:dyDescent="0.3">
      <c r="N34" s="11" t="s">
        <v>132</v>
      </c>
      <c r="O34" s="11">
        <f>SUM(O24:O33)</f>
        <v>16370</v>
      </c>
    </row>
    <row r="35" spans="14:15" s="9" customFormat="1" x14ac:dyDescent="0.3">
      <c r="N35" s="9" t="s">
        <v>69</v>
      </c>
      <c r="O35" s="9">
        <v>97212</v>
      </c>
    </row>
    <row r="36" spans="14:15" s="9" customFormat="1" x14ac:dyDescent="0.3">
      <c r="N36" s="11" t="s">
        <v>133</v>
      </c>
      <c r="O36" s="11">
        <f>SUM(O34:O35)</f>
        <v>113582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4970-3DFD-4C2C-9224-B377E36E4A5C}">
  <dimension ref="A1:O41"/>
  <sheetViews>
    <sheetView tabSelected="1" zoomScale="79" workbookViewId="0">
      <selection activeCell="B1" sqref="B1"/>
    </sheetView>
  </sheetViews>
  <sheetFormatPr defaultRowHeight="14.4" x14ac:dyDescent="0.3"/>
  <cols>
    <col min="1" max="1" width="8.88671875" style="18"/>
  </cols>
  <sheetData>
    <row r="1" spans="1:15" x14ac:dyDescent="0.3">
      <c r="B1" s="2" t="s">
        <v>224</v>
      </c>
    </row>
    <row r="2" spans="1:15" x14ac:dyDescent="0.3">
      <c r="B2" s="2" t="s">
        <v>225</v>
      </c>
    </row>
    <row r="3" spans="1:15" x14ac:dyDescent="0.3">
      <c r="A3" s="18" t="s">
        <v>187</v>
      </c>
      <c r="B3" t="s">
        <v>165</v>
      </c>
    </row>
    <row r="4" spans="1:15" x14ac:dyDescent="0.3">
      <c r="B4" t="s">
        <v>202</v>
      </c>
    </row>
    <row r="5" spans="1:15" x14ac:dyDescent="0.3">
      <c r="B5" t="s">
        <v>191</v>
      </c>
    </row>
    <row r="6" spans="1:15" x14ac:dyDescent="0.3">
      <c r="B6" t="s">
        <v>192</v>
      </c>
    </row>
    <row r="7" spans="1:15" x14ac:dyDescent="0.3">
      <c r="B7" t="s">
        <v>195</v>
      </c>
    </row>
    <row r="8" spans="1:15" x14ac:dyDescent="0.3">
      <c r="B8" t="s">
        <v>196</v>
      </c>
    </row>
    <row r="9" spans="1:15" x14ac:dyDescent="0.3">
      <c r="B9" t="s">
        <v>197</v>
      </c>
      <c r="O9" s="3"/>
    </row>
    <row r="10" spans="1:15" x14ac:dyDescent="0.3">
      <c r="B10" t="s">
        <v>198</v>
      </c>
      <c r="O10" s="3"/>
    </row>
    <row r="11" spans="1:15" x14ac:dyDescent="0.3">
      <c r="B11" t="s">
        <v>199</v>
      </c>
      <c r="O11" s="3"/>
    </row>
    <row r="12" spans="1:15" x14ac:dyDescent="0.3">
      <c r="B12" t="s">
        <v>200</v>
      </c>
      <c r="O12" s="3"/>
    </row>
    <row r="13" spans="1:15" x14ac:dyDescent="0.3">
      <c r="O13" s="3"/>
    </row>
    <row r="14" spans="1:15" x14ac:dyDescent="0.3">
      <c r="A14" s="18" t="s">
        <v>188</v>
      </c>
      <c r="B14" t="s">
        <v>166</v>
      </c>
      <c r="O14" s="3"/>
    </row>
    <row r="15" spans="1:15" x14ac:dyDescent="0.3">
      <c r="B15" t="s">
        <v>201</v>
      </c>
    </row>
    <row r="16" spans="1:15" x14ac:dyDescent="0.3">
      <c r="B16" t="s">
        <v>193</v>
      </c>
    </row>
    <row r="17" spans="1:2" x14ac:dyDescent="0.3">
      <c r="B17" t="s">
        <v>194</v>
      </c>
    </row>
    <row r="18" spans="1:2" x14ac:dyDescent="0.3">
      <c r="B18" t="s">
        <v>203</v>
      </c>
    </row>
    <row r="19" spans="1:2" x14ac:dyDescent="0.3">
      <c r="B19" t="s">
        <v>204</v>
      </c>
    </row>
    <row r="20" spans="1:2" x14ac:dyDescent="0.3">
      <c r="B20" t="s">
        <v>205</v>
      </c>
    </row>
    <row r="21" spans="1:2" x14ac:dyDescent="0.3">
      <c r="B21" t="s">
        <v>206</v>
      </c>
    </row>
    <row r="23" spans="1:2" x14ac:dyDescent="0.3">
      <c r="A23" s="18" t="s">
        <v>189</v>
      </c>
      <c r="B23" t="s">
        <v>215</v>
      </c>
    </row>
    <row r="24" spans="1:2" x14ac:dyDescent="0.3">
      <c r="B24" t="s">
        <v>211</v>
      </c>
    </row>
    <row r="25" spans="1:2" x14ac:dyDescent="0.3">
      <c r="B25" t="s">
        <v>212</v>
      </c>
    </row>
    <row r="26" spans="1:2" x14ac:dyDescent="0.3">
      <c r="B26" t="s">
        <v>213</v>
      </c>
    </row>
    <row r="27" spans="1:2" x14ac:dyDescent="0.3">
      <c r="B27" s="19" t="s">
        <v>214</v>
      </c>
    </row>
    <row r="29" spans="1:2" x14ac:dyDescent="0.3">
      <c r="A29" s="18" t="s">
        <v>216</v>
      </c>
      <c r="B29" t="s">
        <v>217</v>
      </c>
    </row>
    <row r="30" spans="1:2" x14ac:dyDescent="0.3">
      <c r="B30" t="s">
        <v>218</v>
      </c>
    </row>
    <row r="31" spans="1:2" x14ac:dyDescent="0.3">
      <c r="B31" t="s">
        <v>219</v>
      </c>
    </row>
    <row r="32" spans="1:2" x14ac:dyDescent="0.3">
      <c r="B32" t="s">
        <v>220</v>
      </c>
    </row>
    <row r="33" spans="2:2" x14ac:dyDescent="0.3">
      <c r="B33" t="s">
        <v>221</v>
      </c>
    </row>
    <row r="34" spans="2:2" x14ac:dyDescent="0.3">
      <c r="B34" t="s">
        <v>222</v>
      </c>
    </row>
    <row r="36" spans="2:2" x14ac:dyDescent="0.3">
      <c r="B36" t="s">
        <v>223</v>
      </c>
    </row>
    <row r="37" spans="2:2" x14ac:dyDescent="0.3">
      <c r="B37" t="s">
        <v>190</v>
      </c>
    </row>
    <row r="38" spans="2:2" x14ac:dyDescent="0.3">
      <c r="B38" t="s">
        <v>207</v>
      </c>
    </row>
    <row r="39" spans="2:2" x14ac:dyDescent="0.3">
      <c r="B39" t="s">
        <v>208</v>
      </c>
    </row>
    <row r="40" spans="2:2" x14ac:dyDescent="0.3">
      <c r="B40" t="s">
        <v>209</v>
      </c>
    </row>
    <row r="41" spans="2:2" x14ac:dyDescent="0.3">
      <c r="B41" t="s">
        <v>210</v>
      </c>
    </row>
  </sheetData>
  <hyperlinks>
    <hyperlink ref="B1" r:id="rId1" xr:uid="{83B02CC4-534D-41F0-AF19-BD1296F55C54}"/>
    <hyperlink ref="B2" r:id="rId2" xr:uid="{E45814BD-B0E5-4097-AE83-B34AD50671B5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Acquisitions</vt:lpstr>
      <vt:lpstr>Data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2025-12-02T15:04:03Z</dcterms:modified>
</cp:coreProperties>
</file>